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bookViews>
    <workbookView xWindow="-120" yWindow="-120" windowWidth="29040" windowHeight="1584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52" i="76" l="1"/>
  <c r="AK351" i="5" l="1"/>
  <c r="P347" i="76" l="1"/>
  <c r="O342" i="76"/>
  <c r="O343" i="76" s="1"/>
  <c r="O344" i="76" s="1"/>
  <c r="O345" i="76" s="1"/>
  <c r="O346" i="76" s="1"/>
  <c r="O347" i="76" s="1"/>
  <c r="O348" i="76" s="1"/>
  <c r="O349" i="76" s="1"/>
  <c r="O350" i="76" s="1"/>
  <c r="O351" i="76" s="1"/>
  <c r="O352" i="76" s="1"/>
  <c r="AJ345" i="5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K344" i="5"/>
  <c r="AK342" i="5"/>
  <c r="AK345" i="5"/>
  <c r="P341" i="76"/>
  <c r="P342" i="76"/>
  <c r="P343" i="76"/>
  <c r="P344" i="76"/>
  <c r="P345" i="76"/>
  <c r="P346" i="76"/>
  <c r="P348" i="76"/>
  <c r="P349" i="76"/>
  <c r="P350" i="76"/>
  <c r="P351" i="76"/>
  <c r="AK346" i="5"/>
  <c r="AK347" i="5"/>
  <c r="AK348" i="5"/>
  <c r="AK349" i="5"/>
  <c r="AK350" i="5"/>
  <c r="AK352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S271" i="5"/>
  <c r="AI271" i="5" s="1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AI265" i="5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B341" i="76" s="1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M229" i="5" s="1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Q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AK281" i="5"/>
  <c r="AK280" i="5" l="1"/>
  <c r="P263" i="76"/>
  <c r="P266" i="76"/>
  <c r="P270" i="76"/>
  <c r="N183" i="76"/>
  <c r="AI78" i="5"/>
  <c r="P256" i="76"/>
  <c r="AK230" i="5"/>
  <c r="P265" i="76"/>
  <c r="AI243" i="5"/>
  <c r="P251" i="76"/>
  <c r="AK264" i="5"/>
  <c r="AK275" i="5"/>
  <c r="AK254" i="5"/>
  <c r="P262" i="76"/>
  <c r="P277" i="76"/>
  <c r="AI14" i="5"/>
  <c r="N210" i="76"/>
  <c r="P210" i="76" s="1"/>
  <c r="AI247" i="5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1" i="76" l="1"/>
  <c r="P237" i="76"/>
  <c r="AK248" i="5"/>
  <c r="AK242" i="5"/>
  <c r="AK215" i="5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<sst xmlns="http://schemas.openxmlformats.org/spreadsheetml/2006/main" count="81" uniqueCount="70">
  <si>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</si>
  <si>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</si>
  <si>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</si>
  <si>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</si>
  <si>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</si>
  <si>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</si>
  <si>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</si>
  <si>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</si>
  <si>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</si>
  <si>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</si>
  <si>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</si>
  <si>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</si>
  <si>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</si>
  <si>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</si>
  <si>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</si>
  <si>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</si>
  <si>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</si>
  <si>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</si>
  <si>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</si>
  <si>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</si>
  <si>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</si>
  <si>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</si>
  <si>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</si>
  <si>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</si>
  <si>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</si>
  <si>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</si>
  <si>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</si>
  <si>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</si>
  <si>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</si>
  <si>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</si>
  <si>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</si>
  <si>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</si>
  <si>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</si>
  <si>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</si>
  <si>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</si>
  <si>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</si>
  <si>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</si>
  <si>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</si>
  <si>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</si>
  <si>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</si>
  <si>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</si>
  <si>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</si>
  <si>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</si>
  <si>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</si>
  <si>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</si>
  <si>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</si>
  <si>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</si>
  <si>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</si>
  <si>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</si>
  <si>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</si>
  <si>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</si>
  <si>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</si>
  <si>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</si>
  <si>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</si>
  <si>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</si>
  <si>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</si>
  <si>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</si>
  <si>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</si>
  <si>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</si>
  <si>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</si>
  <si>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</si>
  <si>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</si>
  <si>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</si>
  <si>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</si>
  <si>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</si>
  <si>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</si>
  <si>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</si>
  <si>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DICIEMBRE DEL 2022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</si>
  <si>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diciembre de 2022 fue de 120,122 BPD; superior en 3,976 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</si>
  <si>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diciembre 2022 fue de 1,381 MMPCD; inferior en  213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</si>
</sst>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11" fillId="0" borderId="0" xfId="0" applyFont="1"/>
    <xf numFmtId="3" fontId="11" fillId="0" borderId="4" xfId="0" applyNumberFormat="1" applyFont="1" applyBorder="1"/>
    <xf numFmtId="3" fontId="0" fillId="2" borderId="4" xfId="0" applyNumberFormat="1" applyFill="1" applyBorder="1"/>
    <xf numFmtId="3" fontId="11" fillId="0" borderId="1" xfId="0" applyNumberFormat="1" applyFont="1" applyBorder="1"/>
    <xf numFmtId="3" fontId="0" fillId="2" borderId="1" xfId="0" applyNumberFormat="1" applyFill="1" applyBorder="1"/>
    <xf numFmtId="3" fontId="11" fillId="0" borderId="2" xfId="0" applyNumberFormat="1" applyFont="1" applyBorder="1"/>
    <xf numFmtId="3" fontId="0" fillId="2" borderId="2" xfId="0" applyNumberFormat="1" applyFill="1" applyBorder="1"/>
    <xf numFmtId="3" fontId="11" fillId="0" borderId="7" xfId="0" applyNumberFormat="1" applyFont="1" applyBorder="1"/>
    <xf numFmtId="3" fontId="0" fillId="2" borderId="7" xfId="0" applyNumberFormat="1" applyFill="1" applyBorder="1"/>
    <xf numFmtId="3" fontId="11" fillId="0" borderId="8" xfId="0" applyNumberFormat="1" applyFont="1" applyBorder="1"/>
    <xf numFmtId="3" fontId="0" fillId="2" borderId="8" xfId="0" applyNumberFormat="1" applyFill="1" applyBorder="1"/>
    <xf numFmtId="3" fontId="4" fillId="0" borderId="7" xfId="0" applyNumberFormat="1" applyFont="1" applyBorder="1"/>
    <xf numFmtId="3" fontId="12" fillId="0" borderId="1" xfId="0" applyNumberFormat="1" applyFont="1" applyBorder="1"/>
    <xf numFmtId="3" fontId="10" fillId="0" borderId="1" xfId="0" applyNumberFormat="1" applyFont="1" applyBorder="1"/>
    <xf numFmtId="3" fontId="10" fillId="0" borderId="8" xfId="0" applyNumberFormat="1" applyFont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9" fontId="10" fillId="0" borderId="0" xfId="1" applyNumberFormat="1" applyFont="1" applyFill="1"/>
    <xf numFmtId="4" fontId="0" fillId="0" borderId="0" xfId="0" applyNumberFormat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/>
    <xf numFmtId="1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/>
    </xf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3" fillId="6" borderId="1" xfId="0" applyNumberFormat="1" applyFont="1" applyFill="1" applyBorder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7" borderId="1" xfId="0" applyNumberFormat="1" applyFill="1" applyBorder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/>
    <xf numFmtId="4" fontId="0" fillId="11" borderId="13" xfId="0" applyNumberFormat="1" applyFill="1" applyBorder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/>
    <xf numFmtId="0" fontId="26" fillId="6" borderId="0" xfId="0" applyFont="1" applyFill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Alignment="1">
      <alignment horizontal="center" vertical="center"/>
    </xf>
    <xf numFmtId="0" fontId="28" fillId="6" borderId="0" xfId="0" applyFont="1" applyFill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Alignment="1">
      <alignment horizontal="justify" wrapText="1"/>
    </xf>
    <xf numFmtId="0" fontId="24" fillId="18" borderId="0" xfId="0" applyFont="1" applyFill="1" applyAlignment="1">
      <alignment horizontal="justify" vertical="center" wrapText="1"/>
    </xf>
    <xf numFmtId="0" fontId="24" fillId="18" borderId="0" xfId="0" applyFont="1" applyFill="1" applyAlignment="1">
      <alignment horizontal="left" wrapText="1"/>
    </xf>
    <xf numFmtId="0" fontId="30" fillId="18" borderId="0" xfId="0" applyFont="1" applyFill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55"/>
              <c:layout>
                <c:manualLayout>
                  <c:x val="0"/>
                  <c:y val="-3.2370444306013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38-4CFA-8A62-93DA043291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'ESTRUCTURA oil (no)'!$C$200:$C$355</c:f>
              <c:numCache>
                <c:formatCode>0.00</c:formatCode>
                <c:ptCount val="156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  <c:pt idx="153">
                  <c:v>2022.8333218000171</c:v>
                </c:pt>
                <c:pt idx="154">
                  <c:v>2022.9166551000171</c:v>
                </c:pt>
                <c:pt idx="155">
                  <c:v>2022.9999884000172</c:v>
                </c:pt>
              </c:numCache>
            </c:numRef>
          </c:xVal>
          <c:yVal>
            <c:numRef>
              <c:f>'ESTRUCTURA oil (no)'!$AI$200:$AI$355</c:f>
              <c:numCache>
                <c:formatCode>#,##0</c:formatCode>
                <c:ptCount val="156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  <c:pt idx="145">
                  <c:v>134308</c:v>
                </c:pt>
                <c:pt idx="146">
                  <c:v>113500</c:v>
                </c:pt>
                <c:pt idx="147">
                  <c:v>125549</c:v>
                </c:pt>
                <c:pt idx="148">
                  <c:v>128498</c:v>
                </c:pt>
                <c:pt idx="149">
                  <c:v>129215</c:v>
                </c:pt>
                <c:pt idx="150">
                  <c:v>107011</c:v>
                </c:pt>
                <c:pt idx="151">
                  <c:v>95166</c:v>
                </c:pt>
                <c:pt idx="152">
                  <c:v>101716</c:v>
                </c:pt>
                <c:pt idx="153">
                  <c:v>108762</c:v>
                </c:pt>
                <c:pt idx="154">
                  <c:v>116146</c:v>
                </c:pt>
                <c:pt idx="155">
                  <c:v>120122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54"/>
              <c:layout>
                <c:manualLayout>
                  <c:x val="3.6690033210258015E-3"/>
                  <c:y val="3.8844533167216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A-4D77-9C0E-9000AE0797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'ESTRUCTURA oil (no)'!$C$200:$C$355</c:f>
              <c:numCache>
                <c:formatCode>0.00</c:formatCode>
                <c:ptCount val="156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  <c:pt idx="153">
                  <c:v>2022.8333218000171</c:v>
                </c:pt>
                <c:pt idx="154">
                  <c:v>2022.9166551000171</c:v>
                </c:pt>
                <c:pt idx="155">
                  <c:v>2022.9999884000172</c:v>
                </c:pt>
              </c:numCache>
            </c:numRef>
          </c:xVal>
          <c:yVal>
            <c:numRef>
              <c:f>'ESTRUCTURA oil (no)'!$AJ$200:$AJ$355</c:f>
              <c:numCache>
                <c:formatCode>#,##0</c:formatCode>
                <c:ptCount val="156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117204</c:v>
                </c:pt>
                <c:pt idx="145">
                  <c:v>117204</c:v>
                </c:pt>
                <c:pt idx="146">
                  <c:v>117204</c:v>
                </c:pt>
                <c:pt idx="147">
                  <c:v>117204</c:v>
                </c:pt>
                <c:pt idx="148">
                  <c:v>117204</c:v>
                </c:pt>
                <c:pt idx="149">
                  <c:v>117204</c:v>
                </c:pt>
                <c:pt idx="150">
                  <c:v>117204</c:v>
                </c:pt>
                <c:pt idx="151">
                  <c:v>117204</c:v>
                </c:pt>
                <c:pt idx="152">
                  <c:v>117204</c:v>
                </c:pt>
                <c:pt idx="153">
                  <c:v>117204</c:v>
                </c:pt>
                <c:pt idx="154">
                  <c:v>117204</c:v>
                </c:pt>
                <c:pt idx="155">
                  <c:v>117204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3.1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55"/>
              <c:layout>
                <c:manualLayout>
                  <c:x val="3.6702964067796833E-3"/>
                  <c:y val="-1.9396977991557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D7C-407C-AE14-C2100971E8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(no)'!$B$197:$B$352</c:f>
              <c:numCache>
                <c:formatCode>0</c:formatCode>
                <c:ptCount val="156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  <c:pt idx="153" formatCode="0.00">
                  <c:v>2022.8333218000153</c:v>
                </c:pt>
                <c:pt idx="154" formatCode="0.00">
                  <c:v>2022.9166551000153</c:v>
                </c:pt>
                <c:pt idx="155" formatCode="0.00">
                  <c:v>2022.9999884000154</c:v>
                </c:pt>
              </c:numCache>
            </c:numRef>
          </c:xVal>
          <c:yVal>
            <c:numRef>
              <c:f>'ESTRUCTURA gas (no)'!$N$197:$N$352</c:f>
              <c:numCache>
                <c:formatCode>#,##0</c:formatCode>
                <c:ptCount val="156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  <c:pt idx="145">
                  <c:v>1344504.6222000001</c:v>
                </c:pt>
                <c:pt idx="146">
                  <c:v>1259914.1980999999</c:v>
                </c:pt>
                <c:pt idx="147">
                  <c:v>1291170.9442</c:v>
                </c:pt>
                <c:pt idx="148">
                  <c:v>1410361.6444000001</c:v>
                </c:pt>
                <c:pt idx="149">
                  <c:v>1462840.0815000001</c:v>
                </c:pt>
                <c:pt idx="150">
                  <c:v>983913.28200000001</c:v>
                </c:pt>
                <c:pt idx="151">
                  <c:v>1093528.8203</c:v>
                </c:pt>
                <c:pt idx="152">
                  <c:v>1253987.8997</c:v>
                </c:pt>
                <c:pt idx="153">
                  <c:v>1492396.3795</c:v>
                </c:pt>
                <c:pt idx="154">
                  <c:v>1593827.3733999999</c:v>
                </c:pt>
                <c:pt idx="155">
                  <c:v>1380789.6608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E27-4C9D-ACCF-A910EDFB2788}"/>
                </c:ext>
              </c:extLst>
            </c:dLbl>
            <c:dLbl>
              <c:idx val="155"/>
              <c:layout>
                <c:manualLayout>
                  <c:x val="-1.3457598028205196E-16"/>
                  <c:y val="3.2328296652595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D7C-407C-AE14-C2100971E8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(no)'!$B$197:$B$352</c:f>
              <c:numCache>
                <c:formatCode>0</c:formatCode>
                <c:ptCount val="156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  <c:pt idx="153" formatCode="0.00">
                  <c:v>2022.8333218000153</c:v>
                </c:pt>
                <c:pt idx="154" formatCode="0.00">
                  <c:v>2022.9166551000153</c:v>
                </c:pt>
                <c:pt idx="155" formatCode="0.00">
                  <c:v>2022.9999884000154</c:v>
                </c:pt>
              </c:numCache>
            </c:numRef>
          </c:xVal>
          <c:yVal>
            <c:numRef>
              <c:f>'ESTRUCTURA gas (no)'!$O$197:$O$352</c:f>
              <c:numCache>
                <c:formatCode>#,##0</c:formatCode>
                <c:ptCount val="156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1326020.2919000001</c:v>
                </c:pt>
                <c:pt idx="145">
                  <c:v>1326020.2919000001</c:v>
                </c:pt>
                <c:pt idx="146">
                  <c:v>1326020.2919000001</c:v>
                </c:pt>
                <c:pt idx="147">
                  <c:v>1326020.2919000001</c:v>
                </c:pt>
                <c:pt idx="148">
                  <c:v>1326020.2919000001</c:v>
                </c:pt>
                <c:pt idx="149">
                  <c:v>1326020.2919000001</c:v>
                </c:pt>
                <c:pt idx="150">
                  <c:v>1326020.2919000001</c:v>
                </c:pt>
                <c:pt idx="151">
                  <c:v>1326020.2919000001</c:v>
                </c:pt>
                <c:pt idx="152">
                  <c:v>1326020.2919000001</c:v>
                </c:pt>
                <c:pt idx="153">
                  <c:v>1326020.2919000001</c:v>
                </c:pt>
                <c:pt idx="154">
                  <c:v>1326020.2919000001</c:v>
                </c:pt>
                <c:pt idx="155">
                  <c:v>1326020.2919000001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3.1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236764</xdr:colOff>
      <xdr:row>5</xdr:row>
      <xdr:rowOff>73994</xdr:rowOff>
    </xdr:from>
    <xdr:to>
      <xdr:col>12</xdr:col>
      <xdr:colOff>111125</xdr:colOff>
      <xdr:row>29</xdr:row>
      <xdr:rowOff>111126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143953</xdr:colOff>
      <xdr:row>51</xdr:row>
      <xdr:rowOff>5378</xdr:rowOff>
    </xdr:from>
    <xdr:to>
      <xdr:col>12</xdr:col>
      <xdr:colOff>15875</xdr:colOff>
      <xdr:row>75</xdr:row>
      <xdr:rowOff>47625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55"/>
  <sheetViews>
    <sheetView topLeftCell="A5" workbookViewId="0">
      <pane xSplit="4" ySplit="3" topLeftCell="AI335" activePane="bottomRight" state="frozen"/>
      <selection activeCell="A5" sqref="A5"/>
      <selection pane="topRight" activeCell="E5" sqref="E5"/>
      <selection pane="bottomLeft" activeCell="A8" sqref="A8"/>
      <selection pane="bottomRight" activeCell="AJ355" sqref="AJ355"/>
    </sheetView>
  </sheetViews>
  <sheetFormatPr baseColWidth="10" defaultColWidth="11.42578125" defaultRowHeight="12.75" x14ac:dyDescent="0.2"/>
  <cols>
    <col min="1" max="1" width="2.85546875" style="106" customWidth="1"/>
    <col min="2" max="2" width="1.42578125" style="106" customWidth="1"/>
    <col min="3" max="3" width="9.28515625" style="145" customWidth="1"/>
    <col min="4" max="4" width="10.5703125" style="106" bestFit="1" customWidth="1"/>
    <col min="5" max="5" width="9" style="106" hidden="1" customWidth="1"/>
    <col min="6" max="6" width="10.140625" style="106" hidden="1" customWidth="1"/>
    <col min="7" max="7" width="11" style="106" hidden="1" customWidth="1"/>
    <col min="8" max="8" width="9.7109375" style="106" hidden="1" customWidth="1"/>
    <col min="9" max="9" width="11" style="106" hidden="1" customWidth="1"/>
    <col min="10" max="10" width="10.140625" style="106" hidden="1" customWidth="1"/>
    <col min="11" max="11" width="8.5703125" style="106" hidden="1" customWidth="1"/>
    <col min="12" max="12" width="12" style="106" hidden="1" customWidth="1"/>
    <col min="13" max="13" width="11.85546875" style="106" hidden="1" customWidth="1"/>
    <col min="14" max="14" width="10.5703125" style="106" hidden="1" customWidth="1"/>
    <col min="15" max="15" width="12" style="106" hidden="1" customWidth="1"/>
    <col min="16" max="16" width="10.140625" style="106" hidden="1" customWidth="1"/>
    <col min="17" max="17" width="8.5703125" style="106" hidden="1" customWidth="1"/>
    <col min="18" max="18" width="11" style="106" hidden="1" customWidth="1"/>
    <col min="19" max="20" width="12.42578125" style="106" hidden="1" customWidth="1"/>
    <col min="21" max="22" width="15.140625" style="106" hidden="1" customWidth="1"/>
    <col min="23" max="26" width="14" style="106" hidden="1" customWidth="1"/>
    <col min="27" max="27" width="12.28515625" style="106" hidden="1" customWidth="1"/>
    <col min="28" max="28" width="8.28515625" style="106" hidden="1" customWidth="1"/>
    <col min="29" max="34" width="10.140625" style="106" hidden="1" customWidth="1"/>
    <col min="35" max="35" width="11" style="106" customWidth="1"/>
    <col min="36" max="36" width="13.7109375" style="111" customWidth="1"/>
    <col min="37" max="37" width="11.42578125" style="104"/>
    <col min="38" max="16384" width="11.42578125" style="106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08" t="s">
        <v>0</v>
      </c>
      <c r="E5" s="108"/>
      <c r="F5" s="108"/>
      <c r="G5" s="108"/>
      <c r="H5" s="108"/>
      <c r="I5" s="108"/>
      <c r="J5" s="108"/>
      <c r="K5" s="108">
        <f>2589523/31</f>
        <v>83533</v>
      </c>
      <c r="L5" s="108"/>
      <c r="M5" s="108"/>
      <c r="N5" s="108"/>
      <c r="O5" s="108"/>
      <c r="P5" s="108"/>
      <c r="Q5" s="109"/>
      <c r="R5" s="109"/>
      <c r="S5" s="108"/>
      <c r="T5" s="108"/>
      <c r="U5" s="110"/>
      <c r="V5" s="110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</row>
    <row r="7" spans="1:36" ht="25.5" x14ac:dyDescent="0.2">
      <c r="C7" s="146">
        <v>1994</v>
      </c>
      <c r="D7" s="112" t="s">
        <v>1</v>
      </c>
      <c r="E7" s="113" t="s">
        <v>38</v>
      </c>
      <c r="F7" s="112" t="s">
        <v>2</v>
      </c>
      <c r="G7" s="112" t="s">
        <v>3</v>
      </c>
      <c r="H7" s="112" t="s">
        <v>4</v>
      </c>
      <c r="I7" s="112" t="s">
        <v>5</v>
      </c>
      <c r="J7" s="112" t="s">
        <v>6</v>
      </c>
      <c r="K7" s="112" t="s">
        <v>7</v>
      </c>
      <c r="L7" s="112" t="s">
        <v>8</v>
      </c>
      <c r="M7" s="112" t="s">
        <v>9</v>
      </c>
      <c r="N7" s="112" t="s">
        <v>10</v>
      </c>
      <c r="O7" s="112" t="s">
        <v>41</v>
      </c>
      <c r="P7" s="112" t="s">
        <v>40</v>
      </c>
      <c r="Q7" s="112" t="s">
        <v>39</v>
      </c>
      <c r="R7" s="112" t="s">
        <v>50</v>
      </c>
      <c r="S7" s="112" t="s">
        <v>19</v>
      </c>
      <c r="T7" s="112" t="s">
        <v>51</v>
      </c>
      <c r="U7" s="114" t="s">
        <v>42</v>
      </c>
      <c r="V7" s="114" t="s">
        <v>65</v>
      </c>
      <c r="W7" s="114" t="s">
        <v>43</v>
      </c>
      <c r="X7" s="154" t="s">
        <v>44</v>
      </c>
      <c r="Y7" s="154" t="s">
        <v>52</v>
      </c>
      <c r="Z7" s="154" t="s">
        <v>62</v>
      </c>
      <c r="AA7" s="112" t="s">
        <v>20</v>
      </c>
      <c r="AB7" s="112" t="s">
        <v>45</v>
      </c>
      <c r="AC7" s="112" t="s">
        <v>25</v>
      </c>
      <c r="AD7" s="112">
        <v>67</v>
      </c>
      <c r="AE7" s="112">
        <v>131</v>
      </c>
      <c r="AF7" s="112">
        <v>95</v>
      </c>
      <c r="AG7" s="112">
        <v>102</v>
      </c>
      <c r="AH7" s="112" t="s">
        <v>55</v>
      </c>
      <c r="AI7" s="115" t="s">
        <v>64</v>
      </c>
      <c r="AJ7" s="152" t="s">
        <v>21</v>
      </c>
    </row>
    <row r="8" spans="1:36" x14ac:dyDescent="0.2">
      <c r="C8" s="146">
        <f>+C7+0.0833333</f>
        <v>1994.0833333</v>
      </c>
      <c r="D8" s="116">
        <v>34335</v>
      </c>
      <c r="E8" s="117">
        <f>18672/31</f>
        <v>602.32258064516134</v>
      </c>
      <c r="F8" s="117">
        <f>17869/31</f>
        <v>576.41935483870964</v>
      </c>
      <c r="G8" s="117">
        <f>10242/31</f>
        <v>330.38709677419354</v>
      </c>
      <c r="H8" s="117">
        <f>14236/31</f>
        <v>459.22580645161293</v>
      </c>
      <c r="I8" s="117">
        <f>7035/31</f>
        <v>226.93548387096774</v>
      </c>
      <c r="J8" s="117">
        <f>63191/31</f>
        <v>2038.4193548387098</v>
      </c>
      <c r="K8" s="117">
        <f>27073/31</f>
        <v>873.32258064516134</v>
      </c>
      <c r="L8" s="117">
        <f>12589/31</f>
        <v>406.09677419354841</v>
      </c>
      <c r="M8" s="117">
        <f>413556/31</f>
        <v>13340.516129032258</v>
      </c>
      <c r="N8" s="117">
        <f>152233/31</f>
        <v>4910.7419354838712</v>
      </c>
      <c r="O8" s="117"/>
      <c r="P8" s="117"/>
      <c r="Q8" s="117"/>
      <c r="R8" s="117"/>
      <c r="S8" s="117">
        <f>615918/31</f>
        <v>19868.322580645163</v>
      </c>
      <c r="T8" s="117"/>
      <c r="U8" s="117">
        <f>848361/31</f>
        <v>27366.483870967742</v>
      </c>
      <c r="V8" s="117"/>
      <c r="W8" s="117">
        <f>1899564/31</f>
        <v>61276.258064516129</v>
      </c>
      <c r="X8" s="117"/>
      <c r="Y8" s="117"/>
      <c r="Z8" s="117"/>
      <c r="AA8" s="117">
        <f>+(3935+15927)/31</f>
        <v>640.70967741935488</v>
      </c>
      <c r="AB8" s="117"/>
      <c r="AC8" s="117"/>
      <c r="AD8" s="117"/>
      <c r="AE8" s="117"/>
      <c r="AF8" s="117"/>
      <c r="AG8" s="117"/>
      <c r="AH8" s="117"/>
      <c r="AI8" s="117">
        <f>SUM(E8:AA8)</f>
        <v>132916.16129032258</v>
      </c>
      <c r="AJ8" s="211">
        <v>127305</v>
      </c>
    </row>
    <row r="9" spans="1:36" x14ac:dyDescent="0.2">
      <c r="A9" s="118"/>
      <c r="B9" s="118"/>
      <c r="C9" s="146">
        <f t="shared" ref="C9:C18" si="0">+C8+0.0833333</f>
        <v>1994.1666666000001</v>
      </c>
      <c r="D9" s="116">
        <v>34366</v>
      </c>
      <c r="E9" s="117">
        <f>18462/28</f>
        <v>659.35714285714289</v>
      </c>
      <c r="F9" s="117">
        <f>15422/28</f>
        <v>550.78571428571433</v>
      </c>
      <c r="G9" s="117">
        <f>8670/28</f>
        <v>309.64285714285717</v>
      </c>
      <c r="H9" s="117">
        <f>12576/28</f>
        <v>449.14285714285717</v>
      </c>
      <c r="I9" s="117">
        <f>6203/28</f>
        <v>221.53571428571428</v>
      </c>
      <c r="J9" s="117">
        <f>56656/28</f>
        <v>2023.4285714285713</v>
      </c>
      <c r="K9" s="117">
        <f>24024/28</f>
        <v>858</v>
      </c>
      <c r="L9" s="117">
        <f>12376/28</f>
        <v>442</v>
      </c>
      <c r="M9" s="117">
        <f>372577/28</f>
        <v>13306.321428571429</v>
      </c>
      <c r="N9" s="117">
        <f>136863/28</f>
        <v>4887.9642857142853</v>
      </c>
      <c r="O9" s="117"/>
      <c r="P9" s="117"/>
      <c r="Q9" s="117"/>
      <c r="R9" s="117"/>
      <c r="S9" s="117">
        <f>570216/28</f>
        <v>20364.857142857141</v>
      </c>
      <c r="T9" s="117"/>
      <c r="U9" s="117">
        <f>649113/28</f>
        <v>23182.607142857141</v>
      </c>
      <c r="V9" s="117"/>
      <c r="W9" s="117">
        <f>1693952/28</f>
        <v>60498.285714285717</v>
      </c>
      <c r="X9" s="117"/>
      <c r="Y9" s="117"/>
      <c r="Z9" s="117"/>
      <c r="AA9" s="117">
        <f>+(13560+3545)/28</f>
        <v>610.89285714285711</v>
      </c>
      <c r="AB9" s="117"/>
      <c r="AC9" s="117"/>
      <c r="AD9" s="117"/>
      <c r="AE9" s="117"/>
      <c r="AF9" s="117"/>
      <c r="AG9" s="117"/>
      <c r="AH9" s="117"/>
      <c r="AI9" s="117">
        <f t="shared" ref="AI9:AI24" si="1">SUM(E9:AA9)</f>
        <v>128364.82142857143</v>
      </c>
      <c r="AJ9" s="211">
        <v>127305</v>
      </c>
    </row>
    <row r="10" spans="1:36" x14ac:dyDescent="0.2">
      <c r="A10" s="118"/>
      <c r="B10" s="118"/>
      <c r="C10" s="146">
        <f t="shared" si="0"/>
        <v>1994.2499999000001</v>
      </c>
      <c r="D10" s="116">
        <v>34394</v>
      </c>
      <c r="E10" s="117">
        <f>18341/31</f>
        <v>591.64516129032256</v>
      </c>
      <c r="F10" s="117">
        <f>17483/31</f>
        <v>563.9677419354839</v>
      </c>
      <c r="G10" s="117">
        <f>8566/31</f>
        <v>276.32258064516128</v>
      </c>
      <c r="H10" s="117">
        <f>12714/31</f>
        <v>410.12903225806451</v>
      </c>
      <c r="I10" s="117">
        <f>7066/31</f>
        <v>227.93548387096774</v>
      </c>
      <c r="J10" s="117">
        <f>59172/31</f>
        <v>1908.7741935483871</v>
      </c>
      <c r="K10" s="117">
        <f>24235/31</f>
        <v>781.77419354838707</v>
      </c>
      <c r="L10" s="117">
        <f>13749/31</f>
        <v>443.51612903225805</v>
      </c>
      <c r="M10" s="117">
        <f>414322/31</f>
        <v>13365.225806451614</v>
      </c>
      <c r="N10" s="117">
        <f>147216/31</f>
        <v>4748.9032258064517</v>
      </c>
      <c r="O10" s="117"/>
      <c r="P10" s="117"/>
      <c r="Q10" s="117"/>
      <c r="R10" s="117"/>
      <c r="S10" s="117">
        <f>612296/31</f>
        <v>19751.483870967742</v>
      </c>
      <c r="T10" s="117"/>
      <c r="U10" s="117">
        <f>775039/31</f>
        <v>25001.258064516129</v>
      </c>
      <c r="V10" s="117"/>
      <c r="W10" s="117">
        <f>1855068/31</f>
        <v>59840.903225806454</v>
      </c>
      <c r="X10" s="117"/>
      <c r="Y10" s="117"/>
      <c r="Z10" s="117"/>
      <c r="AA10" s="117">
        <f>+(15512+3582)/31</f>
        <v>615.93548387096769</v>
      </c>
      <c r="AB10" s="117"/>
      <c r="AC10" s="117"/>
      <c r="AD10" s="117"/>
      <c r="AE10" s="117"/>
      <c r="AF10" s="117"/>
      <c r="AG10" s="117"/>
      <c r="AH10" s="117"/>
      <c r="AI10" s="117">
        <f t="shared" si="1"/>
        <v>128527.77419354839</v>
      </c>
      <c r="AJ10" s="211">
        <v>127305</v>
      </c>
    </row>
    <row r="11" spans="1:36" x14ac:dyDescent="0.2">
      <c r="A11" s="118"/>
      <c r="B11" s="118"/>
      <c r="C11" s="146">
        <f t="shared" si="0"/>
        <v>1994.3333332000002</v>
      </c>
      <c r="D11" s="116">
        <v>34425</v>
      </c>
      <c r="E11" s="117">
        <f>19662/30</f>
        <v>655.4</v>
      </c>
      <c r="F11" s="117">
        <f>15727/30</f>
        <v>524.23333333333335</v>
      </c>
      <c r="G11" s="117">
        <f>7016/30</f>
        <v>233.86666666666667</v>
      </c>
      <c r="H11" s="117">
        <f>12635/30</f>
        <v>421.16666666666669</v>
      </c>
      <c r="I11" s="117">
        <f>5622/30</f>
        <v>187.4</v>
      </c>
      <c r="J11" s="117">
        <f>57969/30</f>
        <v>1932.3</v>
      </c>
      <c r="K11" s="117">
        <f>29681/30</f>
        <v>989.36666666666667</v>
      </c>
      <c r="L11" s="117">
        <f>13384/30</f>
        <v>446.13333333333333</v>
      </c>
      <c r="M11" s="117">
        <f>398126/30</f>
        <v>13270.866666666667</v>
      </c>
      <c r="N11" s="117">
        <f>145413/30</f>
        <v>4847.1000000000004</v>
      </c>
      <c r="O11" s="117"/>
      <c r="P11" s="117"/>
      <c r="Q11" s="117"/>
      <c r="R11" s="117"/>
      <c r="S11" s="117">
        <f>580150/30</f>
        <v>19338.333333333332</v>
      </c>
      <c r="T11" s="117"/>
      <c r="U11" s="117">
        <f>669842/30</f>
        <v>22328.066666666666</v>
      </c>
      <c r="V11" s="117"/>
      <c r="W11" s="117">
        <f>1765688/30</f>
        <v>58856.26666666667</v>
      </c>
      <c r="X11" s="117"/>
      <c r="Y11" s="117"/>
      <c r="Z11" s="117"/>
      <c r="AA11" s="117">
        <f>+(14219+4094)/30</f>
        <v>610.43333333333328</v>
      </c>
      <c r="AB11" s="117"/>
      <c r="AC11" s="117"/>
      <c r="AD11" s="117"/>
      <c r="AE11" s="117"/>
      <c r="AF11" s="117"/>
      <c r="AG11" s="117"/>
      <c r="AH11" s="117"/>
      <c r="AI11" s="117">
        <f t="shared" si="1"/>
        <v>124640.93333333333</v>
      </c>
      <c r="AJ11" s="211">
        <v>127305</v>
      </c>
    </row>
    <row r="12" spans="1:36" x14ac:dyDescent="0.2">
      <c r="A12" s="118"/>
      <c r="B12" s="118"/>
      <c r="C12" s="146">
        <f t="shared" si="0"/>
        <v>1994.4166665000002</v>
      </c>
      <c r="D12" s="116">
        <v>34455</v>
      </c>
      <c r="E12" s="117">
        <f>17687/31</f>
        <v>570.54838709677415</v>
      </c>
      <c r="F12" s="117">
        <f>14481/31</f>
        <v>467.12903225806451</v>
      </c>
      <c r="G12" s="117">
        <f>7597/31</f>
        <v>245.06451612903226</v>
      </c>
      <c r="H12" s="117">
        <f>15040/31</f>
        <v>485.16129032258067</v>
      </c>
      <c r="I12" s="117">
        <f>8255/31</f>
        <v>266.29032258064518</v>
      </c>
      <c r="J12" s="117">
        <f>57629/31</f>
        <v>1859</v>
      </c>
      <c r="K12" s="117">
        <f>27332/31</f>
        <v>881.67741935483866</v>
      </c>
      <c r="L12" s="117">
        <f>13482/31</f>
        <v>434.90322580645159</v>
      </c>
      <c r="M12" s="117">
        <f>405957/31</f>
        <v>13095.387096774193</v>
      </c>
      <c r="N12" s="117">
        <f>149801/31</f>
        <v>4832.2903225806449</v>
      </c>
      <c r="O12" s="117"/>
      <c r="P12" s="117"/>
      <c r="Q12" s="117"/>
      <c r="R12" s="117"/>
      <c r="S12" s="117">
        <f>581419/31</f>
        <v>18755.451612903227</v>
      </c>
      <c r="T12" s="117"/>
      <c r="U12" s="117">
        <f>1099478/31</f>
        <v>35467.032258064515</v>
      </c>
      <c r="V12" s="117"/>
      <c r="W12" s="117">
        <f>1741382/31</f>
        <v>56173.612903225803</v>
      </c>
      <c r="X12" s="117"/>
      <c r="Y12" s="117"/>
      <c r="Z12" s="117"/>
      <c r="AA12" s="117">
        <f>+(14993+3491)/31</f>
        <v>596.25806451612902</v>
      </c>
      <c r="AB12" s="117"/>
      <c r="AC12" s="117"/>
      <c r="AD12" s="117"/>
      <c r="AE12" s="117"/>
      <c r="AF12" s="117"/>
      <c r="AG12" s="117"/>
      <c r="AH12" s="117"/>
      <c r="AI12" s="117">
        <f t="shared" si="1"/>
        <v>134129.80645161291</v>
      </c>
      <c r="AJ12" s="211">
        <v>127305</v>
      </c>
    </row>
    <row r="13" spans="1:36" x14ac:dyDescent="0.2">
      <c r="A13" s="118"/>
      <c r="B13" s="118"/>
      <c r="C13" s="146">
        <f t="shared" si="0"/>
        <v>1994.4999998000003</v>
      </c>
      <c r="D13" s="116">
        <v>34486</v>
      </c>
      <c r="E13" s="117">
        <f>17147/30</f>
        <v>571.56666666666672</v>
      </c>
      <c r="F13" s="117">
        <f>17308/30</f>
        <v>576.93333333333328</v>
      </c>
      <c r="G13" s="117">
        <f>9139/30</f>
        <v>304.63333333333333</v>
      </c>
      <c r="H13" s="117">
        <f>14024/30</f>
        <v>467.46666666666664</v>
      </c>
      <c r="I13" s="117">
        <f>6493/30</f>
        <v>216.43333333333334</v>
      </c>
      <c r="J13" s="117">
        <f>57483/30</f>
        <v>1916.1</v>
      </c>
      <c r="K13" s="117">
        <f>27638/30</f>
        <v>921.26666666666665</v>
      </c>
      <c r="L13" s="117">
        <f>13370/30</f>
        <v>445.66666666666669</v>
      </c>
      <c r="M13" s="117">
        <f>396517/30</f>
        <v>13217.233333333334</v>
      </c>
      <c r="N13" s="117">
        <f>144853/30</f>
        <v>4828.4333333333334</v>
      </c>
      <c r="O13" s="117"/>
      <c r="P13" s="117"/>
      <c r="Q13" s="117"/>
      <c r="R13" s="117"/>
      <c r="S13" s="117">
        <f>557063/30</f>
        <v>18568.766666666666</v>
      </c>
      <c r="T13" s="117"/>
      <c r="U13" s="117">
        <f>1074717/30</f>
        <v>35823.9</v>
      </c>
      <c r="V13" s="117"/>
      <c r="W13" s="117">
        <f>1581664/30</f>
        <v>52722.133333333331</v>
      </c>
      <c r="X13" s="117"/>
      <c r="Y13" s="117"/>
      <c r="Z13" s="117"/>
      <c r="AA13" s="117">
        <f>+(15272+4235)/30</f>
        <v>650.23333333333335</v>
      </c>
      <c r="AB13" s="117"/>
      <c r="AC13" s="117"/>
      <c r="AD13" s="117"/>
      <c r="AE13" s="117"/>
      <c r="AF13" s="117"/>
      <c r="AG13" s="117"/>
      <c r="AH13" s="117"/>
      <c r="AI13" s="117">
        <f t="shared" si="1"/>
        <v>131230.76666666666</v>
      </c>
      <c r="AJ13" s="211">
        <v>127305</v>
      </c>
    </row>
    <row r="14" spans="1:36" x14ac:dyDescent="0.2">
      <c r="A14" s="118">
        <v>2.7397260273972603E-3</v>
      </c>
      <c r="B14" s="118"/>
      <c r="C14" s="146">
        <f>+C13+0.0833333</f>
        <v>1994.5833331000003</v>
      </c>
      <c r="D14" s="116">
        <v>34516</v>
      </c>
      <c r="E14" s="117">
        <f>13061/31</f>
        <v>421.32258064516128</v>
      </c>
      <c r="F14" s="117">
        <f>16803/31</f>
        <v>542.0322580645161</v>
      </c>
      <c r="G14" s="117">
        <f>6666/31</f>
        <v>215.03225806451613</v>
      </c>
      <c r="H14" s="117">
        <f>14169/31</f>
        <v>457.06451612903226</v>
      </c>
      <c r="I14" s="117">
        <f>7042/31</f>
        <v>227.16129032258064</v>
      </c>
      <c r="J14" s="117">
        <f>60027/31</f>
        <v>1936.3548387096773</v>
      </c>
      <c r="K14" s="117">
        <f>26595/31</f>
        <v>857.90322580645159</v>
      </c>
      <c r="L14" s="117">
        <f>12983/31</f>
        <v>418.80645161290323</v>
      </c>
      <c r="M14" s="117">
        <f>427902/31</f>
        <v>13803.290322580646</v>
      </c>
      <c r="N14" s="117">
        <f>148587/31</f>
        <v>4793.1290322580644</v>
      </c>
      <c r="O14" s="117"/>
      <c r="P14" s="117"/>
      <c r="Q14" s="117"/>
      <c r="R14" s="117"/>
      <c r="S14" s="117">
        <f>566645/31</f>
        <v>18278.870967741936</v>
      </c>
      <c r="T14" s="117"/>
      <c r="U14" s="117">
        <f>1044950/31</f>
        <v>33708.06451612903</v>
      </c>
      <c r="V14" s="117"/>
      <c r="W14" s="117">
        <f>1688686/31</f>
        <v>54473.741935483871</v>
      </c>
      <c r="X14" s="117"/>
      <c r="Y14" s="117"/>
      <c r="Z14" s="117"/>
      <c r="AA14" s="117">
        <f>+(3731+14124)/31</f>
        <v>575.9677419354839</v>
      </c>
      <c r="AB14" s="117"/>
      <c r="AC14" s="117"/>
      <c r="AD14" s="117"/>
      <c r="AE14" s="117"/>
      <c r="AF14" s="117"/>
      <c r="AG14" s="117"/>
      <c r="AH14" s="117"/>
      <c r="AI14" s="117">
        <f t="shared" si="1"/>
        <v>130708.74193548388</v>
      </c>
      <c r="AJ14" s="211">
        <v>127305</v>
      </c>
    </row>
    <row r="15" spans="1:36" x14ac:dyDescent="0.2">
      <c r="A15" s="118"/>
      <c r="B15" s="118"/>
      <c r="C15" s="146">
        <f t="shared" si="0"/>
        <v>1994.6666664000004</v>
      </c>
      <c r="D15" s="116">
        <v>34547</v>
      </c>
      <c r="E15" s="117">
        <f>12880/31</f>
        <v>415.48387096774195</v>
      </c>
      <c r="F15" s="117">
        <f>17404/31</f>
        <v>561.41935483870964</v>
      </c>
      <c r="G15" s="117">
        <f>7881/31</f>
        <v>254.2258064516129</v>
      </c>
      <c r="H15" s="117">
        <f>16261/31</f>
        <v>524.54838709677415</v>
      </c>
      <c r="I15" s="117">
        <f>6407/31</f>
        <v>206.67741935483872</v>
      </c>
      <c r="J15" s="117">
        <f>60396/31</f>
        <v>1948.258064516129</v>
      </c>
      <c r="K15" s="117">
        <f>28502/31</f>
        <v>919.41935483870964</v>
      </c>
      <c r="L15" s="117">
        <f>13608/31</f>
        <v>438.96774193548384</v>
      </c>
      <c r="M15" s="117">
        <f>429973/31</f>
        <v>13870.096774193549</v>
      </c>
      <c r="N15" s="117">
        <f>146778/31</f>
        <v>4734.7741935483873</v>
      </c>
      <c r="O15" s="117"/>
      <c r="P15" s="117"/>
      <c r="Q15" s="117"/>
      <c r="R15" s="117"/>
      <c r="S15" s="117">
        <f>553476/31</f>
        <v>17854.064516129034</v>
      </c>
      <c r="T15" s="117"/>
      <c r="U15" s="117">
        <f>965488/31</f>
        <v>31144.774193548386</v>
      </c>
      <c r="V15" s="117"/>
      <c r="W15" s="117">
        <f>1652315/31</f>
        <v>53300.483870967742</v>
      </c>
      <c r="X15" s="117"/>
      <c r="Y15" s="117"/>
      <c r="Z15" s="117"/>
      <c r="AA15" s="117">
        <f>+(4347+16022)/31</f>
        <v>657.06451612903231</v>
      </c>
      <c r="AB15" s="117"/>
      <c r="AC15" s="117"/>
      <c r="AD15" s="117"/>
      <c r="AE15" s="117"/>
      <c r="AF15" s="117"/>
      <c r="AG15" s="117"/>
      <c r="AH15" s="117"/>
      <c r="AI15" s="117">
        <f t="shared" si="1"/>
        <v>126830.25806451614</v>
      </c>
      <c r="AJ15" s="211">
        <v>127305</v>
      </c>
    </row>
    <row r="16" spans="1:36" x14ac:dyDescent="0.2">
      <c r="A16" s="118"/>
      <c r="B16" s="118"/>
      <c r="C16" s="146">
        <f t="shared" si="0"/>
        <v>1994.7499997000004</v>
      </c>
      <c r="D16" s="116">
        <v>34578</v>
      </c>
      <c r="E16" s="117">
        <f>17573/30</f>
        <v>585.76666666666665</v>
      </c>
      <c r="F16" s="117">
        <f>17985/30</f>
        <v>599.5</v>
      </c>
      <c r="G16" s="117">
        <f>9526/30</f>
        <v>317.53333333333336</v>
      </c>
      <c r="H16" s="117">
        <f>18884/30</f>
        <v>629.4666666666667</v>
      </c>
      <c r="I16" s="117">
        <f>6994/30</f>
        <v>233.13333333333333</v>
      </c>
      <c r="J16" s="117">
        <f>58380/30</f>
        <v>1946</v>
      </c>
      <c r="K16" s="117">
        <f>27899/30</f>
        <v>929.9666666666667</v>
      </c>
      <c r="L16" s="117">
        <f>13371/30</f>
        <v>445.7</v>
      </c>
      <c r="M16" s="117">
        <f>410912/30</f>
        <v>13697.066666666668</v>
      </c>
      <c r="N16" s="117">
        <f>140423/30</f>
        <v>4680.7666666666664</v>
      </c>
      <c r="O16" s="117"/>
      <c r="P16" s="117"/>
      <c r="Q16" s="117"/>
      <c r="R16" s="117"/>
      <c r="S16" s="117">
        <f>564242/30</f>
        <v>18808.066666666666</v>
      </c>
      <c r="T16" s="117"/>
      <c r="U16" s="117">
        <f>884291/30</f>
        <v>29476.366666666665</v>
      </c>
      <c r="V16" s="117"/>
      <c r="W16" s="117">
        <f>1617121/30</f>
        <v>53904.033333333333</v>
      </c>
      <c r="X16" s="117"/>
      <c r="Y16" s="117"/>
      <c r="Z16" s="117"/>
      <c r="AA16" s="117">
        <f>+(3706+13533)/30</f>
        <v>574.63333333333333</v>
      </c>
      <c r="AB16" s="117"/>
      <c r="AC16" s="117"/>
      <c r="AD16" s="117"/>
      <c r="AE16" s="117"/>
      <c r="AF16" s="117"/>
      <c r="AG16" s="117"/>
      <c r="AH16" s="117"/>
      <c r="AI16" s="117">
        <f t="shared" si="1"/>
        <v>126828</v>
      </c>
      <c r="AJ16" s="211">
        <v>127305</v>
      </c>
    </row>
    <row r="17" spans="1:36" x14ac:dyDescent="0.2">
      <c r="A17" s="118"/>
      <c r="B17" s="118"/>
      <c r="C17" s="146">
        <f t="shared" si="0"/>
        <v>1994.8333330000005</v>
      </c>
      <c r="D17" s="116">
        <v>34608</v>
      </c>
      <c r="E17" s="117">
        <f>11090/31</f>
        <v>357.74193548387098</v>
      </c>
      <c r="F17" s="117">
        <f>17783/31</f>
        <v>573.64516129032256</v>
      </c>
      <c r="G17" s="117">
        <f>9068/31</f>
        <v>292.51612903225805</v>
      </c>
      <c r="H17" s="117">
        <f>16718/31</f>
        <v>539.29032258064512</v>
      </c>
      <c r="I17" s="117">
        <f>7137/31</f>
        <v>230.2258064516129</v>
      </c>
      <c r="J17" s="117">
        <f>58550/31</f>
        <v>1888.7096774193549</v>
      </c>
      <c r="K17" s="117">
        <f>28908/31</f>
        <v>932.51612903225805</v>
      </c>
      <c r="L17" s="117">
        <f>13322/31</f>
        <v>429.74193548387098</v>
      </c>
      <c r="M17" s="117">
        <f>434403/31</f>
        <v>14013</v>
      </c>
      <c r="N17" s="117">
        <f>143288/31</f>
        <v>4622.1935483870966</v>
      </c>
      <c r="O17" s="117"/>
      <c r="P17" s="117"/>
      <c r="Q17" s="117"/>
      <c r="R17" s="117"/>
      <c r="S17" s="117">
        <f>597326/31</f>
        <v>19268.580645161292</v>
      </c>
      <c r="T17" s="117"/>
      <c r="U17" s="117">
        <v>28937.419354838708</v>
      </c>
      <c r="V17" s="117"/>
      <c r="W17" s="117">
        <f>1586281/31</f>
        <v>51170.354838709674</v>
      </c>
      <c r="X17" s="117"/>
      <c r="Y17" s="117"/>
      <c r="Z17" s="117"/>
      <c r="AA17" s="117">
        <f>+(3840+14164)/31</f>
        <v>580.77419354838707</v>
      </c>
      <c r="AB17" s="117"/>
      <c r="AC17" s="117"/>
      <c r="AD17" s="117"/>
      <c r="AE17" s="117"/>
      <c r="AF17" s="117"/>
      <c r="AG17" s="117"/>
      <c r="AH17" s="117"/>
      <c r="AI17" s="117">
        <f t="shared" si="1"/>
        <v>123836.70967741936</v>
      </c>
      <c r="AJ17" s="211">
        <v>127305</v>
      </c>
    </row>
    <row r="18" spans="1:36" x14ac:dyDescent="0.2">
      <c r="A18" s="118"/>
      <c r="B18" s="118"/>
      <c r="C18" s="146">
        <f t="shared" si="0"/>
        <v>1994.9166663000005</v>
      </c>
      <c r="D18" s="116">
        <v>34639</v>
      </c>
      <c r="E18" s="117">
        <f>20213/30</f>
        <v>673.76666666666665</v>
      </c>
      <c r="F18" s="117">
        <f>17113/30</f>
        <v>570.43333333333328</v>
      </c>
      <c r="G18" s="117">
        <f>7811/30</f>
        <v>260.36666666666667</v>
      </c>
      <c r="H18" s="117">
        <f>16759/30</f>
        <v>558.63333333333333</v>
      </c>
      <c r="I18" s="117">
        <f>7137/30</f>
        <v>237.9</v>
      </c>
      <c r="J18" s="117">
        <f>56659/30</f>
        <v>1888.6333333333334</v>
      </c>
      <c r="K18" s="117">
        <f>25082/30</f>
        <v>836.06666666666672</v>
      </c>
      <c r="L18" s="117">
        <f>12326/30</f>
        <v>410.86666666666667</v>
      </c>
      <c r="M18" s="117">
        <f>407184/30</f>
        <v>13572.8</v>
      </c>
      <c r="N18" s="117">
        <f>136112/30</f>
        <v>4537.0666666666666</v>
      </c>
      <c r="O18" s="117"/>
      <c r="P18" s="117"/>
      <c r="Q18" s="117"/>
      <c r="R18" s="117"/>
      <c r="S18" s="117">
        <f>550023/30</f>
        <v>18334.099999999999</v>
      </c>
      <c r="T18" s="117"/>
      <c r="U18" s="117">
        <f>869202/30</f>
        <v>28973.4</v>
      </c>
      <c r="V18" s="117"/>
      <c r="W18" s="117">
        <f>1508362/30</f>
        <v>50278.73333333333</v>
      </c>
      <c r="X18" s="117"/>
      <c r="Y18" s="117"/>
      <c r="Z18" s="117"/>
      <c r="AA18" s="117">
        <f>+(4069+14449)/30</f>
        <v>617.26666666666665</v>
      </c>
      <c r="AB18" s="117"/>
      <c r="AC18" s="117"/>
      <c r="AD18" s="117"/>
      <c r="AE18" s="117"/>
      <c r="AF18" s="117"/>
      <c r="AG18" s="117"/>
      <c r="AH18" s="117"/>
      <c r="AI18" s="117">
        <f t="shared" si="1"/>
        <v>121750.03333333333</v>
      </c>
      <c r="AJ18" s="211">
        <v>127305</v>
      </c>
    </row>
    <row r="19" spans="1:36" x14ac:dyDescent="0.2">
      <c r="A19" s="118"/>
      <c r="B19" s="118"/>
      <c r="C19" s="146">
        <f t="shared" ref="C19:C82" si="2">+C18+0.0833333</f>
        <v>1994.9999996000006</v>
      </c>
      <c r="D19" s="116">
        <v>34669</v>
      </c>
      <c r="E19" s="117">
        <f>16998/31</f>
        <v>548.32258064516134</v>
      </c>
      <c r="F19" s="117">
        <f>18641/31</f>
        <v>601.32258064516134</v>
      </c>
      <c r="G19" s="117">
        <f>7892/31</f>
        <v>254.58064516129033</v>
      </c>
      <c r="H19" s="117">
        <f>17281/31</f>
        <v>557.45161290322585</v>
      </c>
      <c r="I19" s="117">
        <f>7048/31</f>
        <v>227.35483870967741</v>
      </c>
      <c r="J19" s="117">
        <f>57092/31</f>
        <v>1841.6774193548388</v>
      </c>
      <c r="K19" s="117">
        <f>28600/31</f>
        <v>922.58064516129036</v>
      </c>
      <c r="L19" s="117">
        <f>12828/31</f>
        <v>413.80645161290323</v>
      </c>
      <c r="M19" s="117">
        <f>406926/31</f>
        <v>13126.645161290322</v>
      </c>
      <c r="N19" s="117">
        <f>143238/31</f>
        <v>4620.5806451612907</v>
      </c>
      <c r="O19" s="117"/>
      <c r="P19" s="117"/>
      <c r="Q19" s="117"/>
      <c r="R19" s="117"/>
      <c r="S19" s="117">
        <f>624524/31</f>
        <v>20145.935483870966</v>
      </c>
      <c r="T19" s="117"/>
      <c r="U19" s="117">
        <f>842076/31</f>
        <v>27163.741935483871</v>
      </c>
      <c r="V19" s="117"/>
      <c r="W19" s="117">
        <f>1452075/31</f>
        <v>46841.129032258068</v>
      </c>
      <c r="X19" s="117"/>
      <c r="Y19" s="117"/>
      <c r="Z19" s="117"/>
      <c r="AA19" s="117">
        <f>+(5904+13613)/31</f>
        <v>629.58064516129036</v>
      </c>
      <c r="AB19" s="117"/>
      <c r="AC19" s="117"/>
      <c r="AD19" s="117"/>
      <c r="AE19" s="117"/>
      <c r="AF19" s="117"/>
      <c r="AG19" s="117"/>
      <c r="AH19" s="117"/>
      <c r="AI19" s="117">
        <f t="shared" si="1"/>
        <v>117894.70967741935</v>
      </c>
      <c r="AJ19" s="211">
        <f>AVERAGE(AI8:AI19)</f>
        <v>127304.89300435229</v>
      </c>
    </row>
    <row r="20" spans="1:36" x14ac:dyDescent="0.2">
      <c r="A20" s="118"/>
      <c r="B20" s="118"/>
      <c r="C20" s="146">
        <f t="shared" si="2"/>
        <v>1995.0833329000006</v>
      </c>
      <c r="D20" s="116">
        <v>34700</v>
      </c>
      <c r="E20" s="117">
        <v>520</v>
      </c>
      <c r="F20" s="117">
        <v>602</v>
      </c>
      <c r="G20" s="117">
        <v>260</v>
      </c>
      <c r="H20" s="117">
        <v>615</v>
      </c>
      <c r="I20" s="117">
        <v>212</v>
      </c>
      <c r="J20" s="117">
        <v>1630</v>
      </c>
      <c r="K20" s="117">
        <v>954</v>
      </c>
      <c r="L20" s="117">
        <v>417</v>
      </c>
      <c r="M20" s="117">
        <v>13274</v>
      </c>
      <c r="N20" s="117">
        <v>4588</v>
      </c>
      <c r="O20" s="117"/>
      <c r="P20" s="117"/>
      <c r="Q20" s="117"/>
      <c r="R20" s="117"/>
      <c r="S20" s="117">
        <v>19737</v>
      </c>
      <c r="T20" s="117"/>
      <c r="U20" s="117">
        <v>28042</v>
      </c>
      <c r="V20" s="117"/>
      <c r="W20" s="117">
        <v>51989</v>
      </c>
      <c r="X20" s="117"/>
      <c r="Y20" s="117"/>
      <c r="Z20" s="117"/>
      <c r="AA20" s="117">
        <v>579</v>
      </c>
      <c r="AB20" s="117"/>
      <c r="AC20" s="117"/>
      <c r="AD20" s="117"/>
      <c r="AE20" s="117"/>
      <c r="AF20" s="117"/>
      <c r="AG20" s="117"/>
      <c r="AH20" s="117"/>
      <c r="AI20" s="117">
        <f t="shared" si="1"/>
        <v>123419</v>
      </c>
      <c r="AJ20" s="211">
        <v>121762</v>
      </c>
    </row>
    <row r="21" spans="1:36" x14ac:dyDescent="0.2">
      <c r="A21" s="118"/>
      <c r="B21" s="118"/>
      <c r="C21" s="146">
        <f t="shared" si="2"/>
        <v>1995.1666662000007</v>
      </c>
      <c r="D21" s="116">
        <v>34731</v>
      </c>
      <c r="E21" s="117">
        <v>630</v>
      </c>
      <c r="F21" s="117">
        <v>569</v>
      </c>
      <c r="G21" s="117">
        <v>260</v>
      </c>
      <c r="H21" s="117">
        <v>477</v>
      </c>
      <c r="I21" s="117">
        <v>238</v>
      </c>
      <c r="J21" s="117">
        <v>1734</v>
      </c>
      <c r="K21" s="117">
        <v>923</v>
      </c>
      <c r="L21" s="117">
        <v>419</v>
      </c>
      <c r="M21" s="117">
        <v>13153</v>
      </c>
      <c r="N21" s="117">
        <v>4527</v>
      </c>
      <c r="O21" s="117"/>
      <c r="P21" s="117"/>
      <c r="Q21" s="117"/>
      <c r="R21" s="117"/>
      <c r="S21" s="117">
        <v>20044</v>
      </c>
      <c r="T21" s="117"/>
      <c r="U21" s="117">
        <v>28272</v>
      </c>
      <c r="V21" s="117"/>
      <c r="W21" s="117">
        <v>53059</v>
      </c>
      <c r="X21" s="117"/>
      <c r="Y21" s="117"/>
      <c r="Z21" s="117"/>
      <c r="AA21" s="117">
        <v>574</v>
      </c>
      <c r="AB21" s="117"/>
      <c r="AC21" s="117"/>
      <c r="AD21" s="117"/>
      <c r="AE21" s="117"/>
      <c r="AF21" s="117"/>
      <c r="AG21" s="117"/>
      <c r="AH21" s="117"/>
      <c r="AI21" s="117">
        <f t="shared" si="1"/>
        <v>124879</v>
      </c>
      <c r="AJ21" s="211">
        <v>121762</v>
      </c>
    </row>
    <row r="22" spans="1:36" x14ac:dyDescent="0.2">
      <c r="A22" s="118"/>
      <c r="B22" s="118"/>
      <c r="C22" s="146">
        <f t="shared" si="2"/>
        <v>1995.2499995000007</v>
      </c>
      <c r="D22" s="116">
        <v>34759</v>
      </c>
      <c r="E22" s="117">
        <v>547</v>
      </c>
      <c r="F22" s="117">
        <v>630</v>
      </c>
      <c r="G22" s="117">
        <v>232</v>
      </c>
      <c r="H22" s="117">
        <v>528</v>
      </c>
      <c r="I22" s="117">
        <v>213</v>
      </c>
      <c r="J22" s="117">
        <v>1718</v>
      </c>
      <c r="K22" s="117">
        <v>1009</v>
      </c>
      <c r="L22" s="117">
        <v>438</v>
      </c>
      <c r="M22" s="117">
        <v>13296</v>
      </c>
      <c r="N22" s="117">
        <v>4413</v>
      </c>
      <c r="O22" s="117"/>
      <c r="P22" s="117"/>
      <c r="Q22" s="117"/>
      <c r="R22" s="117"/>
      <c r="S22" s="117">
        <v>20700</v>
      </c>
      <c r="T22" s="117"/>
      <c r="U22" s="117">
        <v>27406</v>
      </c>
      <c r="V22" s="117"/>
      <c r="W22" s="117">
        <v>52777</v>
      </c>
      <c r="X22" s="117"/>
      <c r="Y22" s="117"/>
      <c r="Z22" s="117"/>
      <c r="AA22" s="117">
        <v>589</v>
      </c>
      <c r="AB22" s="117"/>
      <c r="AC22" s="117"/>
      <c r="AD22" s="117"/>
      <c r="AE22" s="117"/>
      <c r="AF22" s="117"/>
      <c r="AG22" s="117"/>
      <c r="AH22" s="117"/>
      <c r="AI22" s="117">
        <f t="shared" si="1"/>
        <v>124496</v>
      </c>
      <c r="AJ22" s="211">
        <v>121762</v>
      </c>
    </row>
    <row r="23" spans="1:36" x14ac:dyDescent="0.2">
      <c r="A23" s="118"/>
      <c r="B23" s="118"/>
      <c r="C23" s="146">
        <f t="shared" si="2"/>
        <v>1995.3333328000008</v>
      </c>
      <c r="D23" s="116">
        <v>34790</v>
      </c>
      <c r="E23" s="117">
        <v>767</v>
      </c>
      <c r="F23" s="117">
        <v>635</v>
      </c>
      <c r="G23" s="117">
        <v>297</v>
      </c>
      <c r="H23" s="117">
        <v>514</v>
      </c>
      <c r="I23" s="117">
        <v>222</v>
      </c>
      <c r="J23" s="117">
        <v>1594</v>
      </c>
      <c r="K23" s="117">
        <v>977</v>
      </c>
      <c r="L23" s="117">
        <v>439</v>
      </c>
      <c r="M23" s="117">
        <v>12958</v>
      </c>
      <c r="N23" s="117">
        <v>4398</v>
      </c>
      <c r="O23" s="117"/>
      <c r="P23" s="117"/>
      <c r="Q23" s="117"/>
      <c r="R23" s="117"/>
      <c r="S23" s="117">
        <v>21063</v>
      </c>
      <c r="T23" s="117"/>
      <c r="U23" s="117">
        <v>28944</v>
      </c>
      <c r="V23" s="117"/>
      <c r="W23" s="117">
        <v>50738</v>
      </c>
      <c r="X23" s="117"/>
      <c r="Y23" s="117"/>
      <c r="Z23" s="117"/>
      <c r="AA23" s="117">
        <v>573</v>
      </c>
      <c r="AB23" s="117"/>
      <c r="AC23" s="117"/>
      <c r="AD23" s="117"/>
      <c r="AE23" s="117"/>
      <c r="AF23" s="117"/>
      <c r="AG23" s="117"/>
      <c r="AH23" s="117"/>
      <c r="AI23" s="117">
        <f t="shared" si="1"/>
        <v>124119</v>
      </c>
      <c r="AJ23" s="211">
        <v>121762</v>
      </c>
    </row>
    <row r="24" spans="1:36" x14ac:dyDescent="0.2">
      <c r="A24" s="118"/>
      <c r="B24" s="118"/>
      <c r="C24" s="146">
        <f t="shared" si="2"/>
        <v>1995.4166661000008</v>
      </c>
      <c r="D24" s="116">
        <v>34820</v>
      </c>
      <c r="E24" s="117">
        <v>675</v>
      </c>
      <c r="F24" s="117">
        <v>644</v>
      </c>
      <c r="G24" s="117">
        <v>286</v>
      </c>
      <c r="H24" s="117">
        <v>486</v>
      </c>
      <c r="I24" s="117">
        <v>203</v>
      </c>
      <c r="J24" s="117">
        <v>1724</v>
      </c>
      <c r="K24" s="117">
        <v>953</v>
      </c>
      <c r="L24" s="117">
        <v>408</v>
      </c>
      <c r="M24" s="117">
        <v>12995</v>
      </c>
      <c r="N24" s="117">
        <v>4404</v>
      </c>
      <c r="O24" s="117"/>
      <c r="P24" s="117"/>
      <c r="Q24" s="117"/>
      <c r="R24" s="117"/>
      <c r="S24" s="117">
        <v>21463</v>
      </c>
      <c r="T24" s="117"/>
      <c r="U24" s="117">
        <v>26665</v>
      </c>
      <c r="V24" s="117"/>
      <c r="W24" s="117">
        <v>55149</v>
      </c>
      <c r="X24" s="117"/>
      <c r="Y24" s="117"/>
      <c r="Z24" s="117"/>
      <c r="AA24" s="117">
        <v>611</v>
      </c>
      <c r="AB24" s="117"/>
      <c r="AC24" s="117"/>
      <c r="AD24" s="117"/>
      <c r="AE24" s="117"/>
      <c r="AF24" s="117"/>
      <c r="AG24" s="117"/>
      <c r="AH24" s="117"/>
      <c r="AI24" s="117">
        <f t="shared" si="1"/>
        <v>126666</v>
      </c>
      <c r="AJ24" s="211">
        <v>121762</v>
      </c>
    </row>
    <row r="25" spans="1:36" x14ac:dyDescent="0.2">
      <c r="A25" s="118"/>
      <c r="B25" s="118"/>
      <c r="C25" s="146">
        <f t="shared" si="2"/>
        <v>1995.4999994000009</v>
      </c>
      <c r="D25" s="116">
        <v>34851</v>
      </c>
      <c r="E25" s="117">
        <v>0</v>
      </c>
      <c r="F25" s="117">
        <v>600</v>
      </c>
      <c r="G25" s="117">
        <v>217</v>
      </c>
      <c r="H25" s="117">
        <v>465</v>
      </c>
      <c r="I25" s="117">
        <v>183</v>
      </c>
      <c r="J25" s="117">
        <v>1624</v>
      </c>
      <c r="K25" s="117">
        <v>928</v>
      </c>
      <c r="L25" s="117">
        <v>354</v>
      </c>
      <c r="M25" s="117">
        <v>13000</v>
      </c>
      <c r="N25" s="117">
        <v>4043</v>
      </c>
      <c r="O25" s="117"/>
      <c r="P25" s="117"/>
      <c r="Q25" s="117"/>
      <c r="R25" s="117"/>
      <c r="S25" s="117">
        <v>20303</v>
      </c>
      <c r="T25" s="117"/>
      <c r="U25" s="117">
        <v>28287</v>
      </c>
      <c r="V25" s="117"/>
      <c r="W25" s="117">
        <v>53183</v>
      </c>
      <c r="X25" s="117"/>
      <c r="Y25" s="117"/>
      <c r="Z25" s="117"/>
      <c r="AA25" s="117">
        <v>539</v>
      </c>
      <c r="AB25" s="117"/>
      <c r="AC25" s="117"/>
      <c r="AD25" s="117"/>
      <c r="AE25" s="117"/>
      <c r="AF25" s="117"/>
      <c r="AG25" s="117"/>
      <c r="AH25" s="117"/>
      <c r="AI25" s="117">
        <f t="shared" ref="AI25:AI40" si="3">SUM(E25:AA25)</f>
        <v>123726</v>
      </c>
      <c r="AJ25" s="211">
        <v>121700</v>
      </c>
    </row>
    <row r="26" spans="1:36" x14ac:dyDescent="0.2">
      <c r="A26" s="118"/>
      <c r="B26" s="118"/>
      <c r="C26" s="146">
        <f t="shared" si="2"/>
        <v>1995.5833327000009</v>
      </c>
      <c r="D26" s="116">
        <v>34881</v>
      </c>
      <c r="E26" s="117">
        <v>832</v>
      </c>
      <c r="F26" s="117">
        <v>645</v>
      </c>
      <c r="G26" s="117">
        <v>195</v>
      </c>
      <c r="H26" s="117">
        <v>492</v>
      </c>
      <c r="I26" s="117">
        <v>215</v>
      </c>
      <c r="J26" s="117">
        <v>1661</v>
      </c>
      <c r="K26" s="117">
        <v>994</v>
      </c>
      <c r="L26" s="117">
        <v>418</v>
      </c>
      <c r="M26" s="117">
        <v>13016</v>
      </c>
      <c r="N26" s="117">
        <v>4203</v>
      </c>
      <c r="O26" s="117"/>
      <c r="P26" s="117"/>
      <c r="Q26" s="117"/>
      <c r="R26" s="117"/>
      <c r="S26" s="117">
        <v>20252</v>
      </c>
      <c r="T26" s="117"/>
      <c r="U26" s="117">
        <v>26553</v>
      </c>
      <c r="V26" s="117"/>
      <c r="W26" s="117">
        <v>52190</v>
      </c>
      <c r="X26" s="117"/>
      <c r="Y26" s="117"/>
      <c r="Z26" s="117"/>
      <c r="AA26" s="117">
        <v>568</v>
      </c>
      <c r="AB26" s="117"/>
      <c r="AC26" s="117"/>
      <c r="AD26" s="117"/>
      <c r="AE26" s="117"/>
      <c r="AF26" s="117"/>
      <c r="AG26" s="117"/>
      <c r="AH26" s="117"/>
      <c r="AI26" s="117">
        <f t="shared" si="3"/>
        <v>122234</v>
      </c>
      <c r="AJ26" s="211">
        <v>121762</v>
      </c>
    </row>
    <row r="27" spans="1:36" x14ac:dyDescent="0.2">
      <c r="A27" s="118"/>
      <c r="B27" s="118"/>
      <c r="C27" s="146">
        <f t="shared" si="2"/>
        <v>1995.666666000001</v>
      </c>
      <c r="D27" s="116">
        <v>34912</v>
      </c>
      <c r="E27" s="117">
        <v>808</v>
      </c>
      <c r="F27" s="117">
        <v>604</v>
      </c>
      <c r="G27" s="117">
        <v>226</v>
      </c>
      <c r="H27" s="117">
        <v>491</v>
      </c>
      <c r="I27" s="117">
        <v>190</v>
      </c>
      <c r="J27" s="117">
        <v>1594</v>
      </c>
      <c r="K27" s="117">
        <v>956</v>
      </c>
      <c r="L27" s="117">
        <v>410</v>
      </c>
      <c r="M27" s="117">
        <v>12813</v>
      </c>
      <c r="N27" s="117">
        <v>4232</v>
      </c>
      <c r="O27" s="117"/>
      <c r="P27" s="117"/>
      <c r="Q27" s="117"/>
      <c r="R27" s="117"/>
      <c r="S27" s="117">
        <v>19719</v>
      </c>
      <c r="T27" s="117"/>
      <c r="U27" s="117">
        <v>25889</v>
      </c>
      <c r="V27" s="117"/>
      <c r="W27" s="117">
        <v>55903</v>
      </c>
      <c r="X27" s="117"/>
      <c r="Y27" s="117"/>
      <c r="Z27" s="117"/>
      <c r="AA27" s="117">
        <v>564</v>
      </c>
      <c r="AB27" s="117"/>
      <c r="AC27" s="117"/>
      <c r="AD27" s="117"/>
      <c r="AE27" s="117"/>
      <c r="AF27" s="117"/>
      <c r="AG27" s="117"/>
      <c r="AH27" s="117"/>
      <c r="AI27" s="117">
        <f t="shared" si="3"/>
        <v>124399</v>
      </c>
      <c r="AJ27" s="211">
        <v>121762</v>
      </c>
    </row>
    <row r="28" spans="1:36" x14ac:dyDescent="0.2">
      <c r="A28" s="118"/>
      <c r="B28" s="118"/>
      <c r="C28" s="146">
        <f t="shared" si="2"/>
        <v>1995.749999300001</v>
      </c>
      <c r="D28" s="116">
        <v>34943</v>
      </c>
      <c r="E28" s="117">
        <v>949</v>
      </c>
      <c r="F28" s="117">
        <v>646</v>
      </c>
      <c r="G28" s="117">
        <v>214</v>
      </c>
      <c r="H28" s="117">
        <v>474</v>
      </c>
      <c r="I28" s="117">
        <v>232</v>
      </c>
      <c r="J28" s="117">
        <v>1509</v>
      </c>
      <c r="K28" s="117">
        <v>1031</v>
      </c>
      <c r="L28" s="117">
        <v>401</v>
      </c>
      <c r="M28" s="117">
        <v>12905</v>
      </c>
      <c r="N28" s="117">
        <v>4164</v>
      </c>
      <c r="O28" s="117"/>
      <c r="P28" s="117"/>
      <c r="Q28" s="117"/>
      <c r="R28" s="117"/>
      <c r="S28" s="117">
        <v>18577</v>
      </c>
      <c r="T28" s="117"/>
      <c r="U28" s="117">
        <v>25208</v>
      </c>
      <c r="V28" s="117"/>
      <c r="W28" s="117">
        <v>50495</v>
      </c>
      <c r="X28" s="117"/>
      <c r="Y28" s="117"/>
      <c r="Z28" s="117"/>
      <c r="AA28" s="117">
        <v>531</v>
      </c>
      <c r="AB28" s="117"/>
      <c r="AC28" s="117"/>
      <c r="AD28" s="117"/>
      <c r="AE28" s="117"/>
      <c r="AF28" s="117"/>
      <c r="AG28" s="117"/>
      <c r="AH28" s="117"/>
      <c r="AI28" s="117">
        <f t="shared" si="3"/>
        <v>117336</v>
      </c>
      <c r="AJ28" s="211">
        <v>121762</v>
      </c>
    </row>
    <row r="29" spans="1:36" x14ac:dyDescent="0.2">
      <c r="A29" s="118"/>
      <c r="B29" s="118"/>
      <c r="C29" s="146">
        <f t="shared" si="2"/>
        <v>1995.8333326000011</v>
      </c>
      <c r="D29" s="116">
        <v>34973</v>
      </c>
      <c r="E29" s="117">
        <v>951</v>
      </c>
      <c r="F29" s="117">
        <v>646</v>
      </c>
      <c r="G29" s="117">
        <v>193</v>
      </c>
      <c r="H29" s="117">
        <v>488</v>
      </c>
      <c r="I29" s="117">
        <v>222</v>
      </c>
      <c r="J29" s="117">
        <v>1218</v>
      </c>
      <c r="K29" s="117">
        <v>997</v>
      </c>
      <c r="L29" s="117">
        <v>402</v>
      </c>
      <c r="M29" s="117">
        <v>13321</v>
      </c>
      <c r="N29" s="117">
        <v>4152</v>
      </c>
      <c r="O29" s="117"/>
      <c r="P29" s="117"/>
      <c r="Q29" s="117"/>
      <c r="R29" s="117"/>
      <c r="S29" s="117">
        <v>17869</v>
      </c>
      <c r="T29" s="117"/>
      <c r="U29" s="117">
        <v>25445</v>
      </c>
      <c r="V29" s="117"/>
      <c r="W29" s="117">
        <v>50351</v>
      </c>
      <c r="X29" s="117"/>
      <c r="Y29" s="117"/>
      <c r="Z29" s="117"/>
      <c r="AA29" s="117">
        <v>616</v>
      </c>
      <c r="AB29" s="117"/>
      <c r="AC29" s="117"/>
      <c r="AD29" s="117"/>
      <c r="AE29" s="117"/>
      <c r="AF29" s="117"/>
      <c r="AG29" s="117"/>
      <c r="AH29" s="117"/>
      <c r="AI29" s="117">
        <f t="shared" si="3"/>
        <v>116871</v>
      </c>
      <c r="AJ29" s="211">
        <v>121762</v>
      </c>
    </row>
    <row r="30" spans="1:36" x14ac:dyDescent="0.2">
      <c r="A30" s="118"/>
      <c r="B30" s="118"/>
      <c r="C30" s="146">
        <f t="shared" si="2"/>
        <v>1995.9166659000011</v>
      </c>
      <c r="D30" s="116">
        <v>35004</v>
      </c>
      <c r="E30" s="117">
        <v>927</v>
      </c>
      <c r="F30" s="117">
        <v>697</v>
      </c>
      <c r="G30" s="117">
        <v>171</v>
      </c>
      <c r="H30" s="117">
        <v>594</v>
      </c>
      <c r="I30" s="117">
        <v>200</v>
      </c>
      <c r="J30" s="117">
        <v>1332</v>
      </c>
      <c r="K30" s="117">
        <v>970</v>
      </c>
      <c r="L30" s="117">
        <v>439</v>
      </c>
      <c r="M30" s="117">
        <v>13071</v>
      </c>
      <c r="N30" s="117">
        <v>4115</v>
      </c>
      <c r="O30" s="117"/>
      <c r="P30" s="117"/>
      <c r="Q30" s="117"/>
      <c r="R30" s="117"/>
      <c r="S30" s="117">
        <v>16989</v>
      </c>
      <c r="T30" s="117"/>
      <c r="U30" s="117">
        <v>25462</v>
      </c>
      <c r="V30" s="117"/>
      <c r="W30" s="117">
        <v>50664</v>
      </c>
      <c r="X30" s="117"/>
      <c r="Y30" s="117"/>
      <c r="Z30" s="117"/>
      <c r="AA30" s="117">
        <v>738</v>
      </c>
      <c r="AB30" s="117"/>
      <c r="AC30" s="117"/>
      <c r="AD30" s="117"/>
      <c r="AE30" s="117"/>
      <c r="AF30" s="117"/>
      <c r="AG30" s="117"/>
      <c r="AH30" s="117"/>
      <c r="AI30" s="117">
        <f t="shared" si="3"/>
        <v>116369</v>
      </c>
      <c r="AJ30" s="211">
        <v>121762</v>
      </c>
    </row>
    <row r="31" spans="1:36" x14ac:dyDescent="0.2">
      <c r="A31" s="118"/>
      <c r="B31" s="118"/>
      <c r="C31" s="146">
        <f t="shared" si="2"/>
        <v>1995.9999992000012</v>
      </c>
      <c r="D31" s="116">
        <v>35034</v>
      </c>
      <c r="E31" s="117">
        <v>893</v>
      </c>
      <c r="F31" s="117">
        <v>648</v>
      </c>
      <c r="G31" s="117">
        <v>150</v>
      </c>
      <c r="H31" s="117">
        <v>579</v>
      </c>
      <c r="I31" s="117">
        <v>225</v>
      </c>
      <c r="J31" s="117">
        <v>1422</v>
      </c>
      <c r="K31" s="117">
        <v>1008</v>
      </c>
      <c r="L31" s="117">
        <v>403</v>
      </c>
      <c r="M31" s="117">
        <v>12980</v>
      </c>
      <c r="N31" s="117">
        <v>4097</v>
      </c>
      <c r="O31" s="117"/>
      <c r="P31" s="117"/>
      <c r="Q31" s="117"/>
      <c r="R31" s="117"/>
      <c r="S31" s="117">
        <v>16713</v>
      </c>
      <c r="T31" s="117"/>
      <c r="U31" s="117">
        <v>26162</v>
      </c>
      <c r="V31" s="117"/>
      <c r="W31" s="117">
        <v>49208</v>
      </c>
      <c r="X31" s="117"/>
      <c r="Y31" s="117"/>
      <c r="Z31" s="117"/>
      <c r="AA31" s="117">
        <v>905</v>
      </c>
      <c r="AB31" s="117"/>
      <c r="AC31" s="117"/>
      <c r="AD31" s="117"/>
      <c r="AE31" s="117"/>
      <c r="AF31" s="117"/>
      <c r="AG31" s="117"/>
      <c r="AH31" s="117"/>
      <c r="AI31" s="117">
        <f t="shared" si="3"/>
        <v>115393</v>
      </c>
      <c r="AJ31" s="211">
        <v>121762</v>
      </c>
    </row>
    <row r="32" spans="1:36" x14ac:dyDescent="0.2">
      <c r="A32" s="118"/>
      <c r="B32" s="118"/>
      <c r="C32" s="146">
        <f t="shared" si="2"/>
        <v>1996.0833325000012</v>
      </c>
      <c r="D32" s="116">
        <v>35065</v>
      </c>
      <c r="E32" s="117">
        <v>845</v>
      </c>
      <c r="F32" s="117">
        <v>591</v>
      </c>
      <c r="G32" s="117">
        <v>174</v>
      </c>
      <c r="H32" s="117">
        <v>617</v>
      </c>
      <c r="I32" s="117">
        <v>210</v>
      </c>
      <c r="J32" s="117">
        <v>1468</v>
      </c>
      <c r="K32" s="117">
        <v>1008</v>
      </c>
      <c r="L32" s="117">
        <v>410</v>
      </c>
      <c r="M32" s="117">
        <v>12210</v>
      </c>
      <c r="N32" s="117">
        <v>4118</v>
      </c>
      <c r="O32" s="117"/>
      <c r="P32" s="117"/>
      <c r="Q32" s="117"/>
      <c r="R32" s="117"/>
      <c r="S32" s="117">
        <v>17316</v>
      </c>
      <c r="T32" s="117"/>
      <c r="U32" s="117">
        <v>24936</v>
      </c>
      <c r="V32" s="117"/>
      <c r="W32" s="117">
        <v>51125</v>
      </c>
      <c r="X32" s="117"/>
      <c r="Y32" s="117"/>
      <c r="Z32" s="117"/>
      <c r="AA32" s="117">
        <v>622</v>
      </c>
      <c r="AB32" s="117"/>
      <c r="AC32" s="117"/>
      <c r="AD32" s="117"/>
      <c r="AE32" s="117"/>
      <c r="AF32" s="117"/>
      <c r="AG32" s="117"/>
      <c r="AH32" s="117"/>
      <c r="AI32" s="117">
        <f t="shared" si="3"/>
        <v>115650</v>
      </c>
      <c r="AJ32" s="211">
        <v>119972</v>
      </c>
    </row>
    <row r="33" spans="1:36" x14ac:dyDescent="0.2">
      <c r="A33" s="118"/>
      <c r="B33" s="118"/>
      <c r="C33" s="146">
        <f t="shared" si="2"/>
        <v>1996.1666658000013</v>
      </c>
      <c r="D33" s="116">
        <v>35096</v>
      </c>
      <c r="E33" s="117">
        <v>795</v>
      </c>
      <c r="F33" s="117">
        <v>608</v>
      </c>
      <c r="G33" s="117">
        <v>260</v>
      </c>
      <c r="H33" s="117">
        <v>438</v>
      </c>
      <c r="I33" s="117">
        <v>221</v>
      </c>
      <c r="J33" s="117">
        <v>1519</v>
      </c>
      <c r="K33" s="117">
        <v>983</v>
      </c>
      <c r="L33" s="117">
        <v>420</v>
      </c>
      <c r="M33" s="117">
        <v>12210</v>
      </c>
      <c r="N33" s="117">
        <v>4086</v>
      </c>
      <c r="O33" s="117"/>
      <c r="P33" s="117"/>
      <c r="Q33" s="117"/>
      <c r="R33" s="117"/>
      <c r="S33" s="117">
        <v>16748</v>
      </c>
      <c r="T33" s="117"/>
      <c r="U33" s="117">
        <v>25035</v>
      </c>
      <c r="V33" s="117"/>
      <c r="W33" s="117">
        <v>53740</v>
      </c>
      <c r="X33" s="117"/>
      <c r="Y33" s="117"/>
      <c r="Z33" s="117"/>
      <c r="AA33" s="117">
        <v>682</v>
      </c>
      <c r="AB33" s="117"/>
      <c r="AC33" s="117"/>
      <c r="AD33" s="117"/>
      <c r="AE33" s="117"/>
      <c r="AF33" s="117"/>
      <c r="AG33" s="117"/>
      <c r="AH33" s="117"/>
      <c r="AI33" s="117">
        <f t="shared" si="3"/>
        <v>117745</v>
      </c>
      <c r="AJ33" s="211">
        <v>119972</v>
      </c>
    </row>
    <row r="34" spans="1:36" x14ac:dyDescent="0.2">
      <c r="A34" s="118"/>
      <c r="B34" s="118"/>
      <c r="C34" s="146">
        <f t="shared" si="2"/>
        <v>1996.2499991000013</v>
      </c>
      <c r="D34" s="116">
        <v>35125</v>
      </c>
      <c r="E34" s="117">
        <v>783</v>
      </c>
      <c r="F34" s="117">
        <v>661</v>
      </c>
      <c r="G34" s="117">
        <v>321</v>
      </c>
      <c r="H34" s="117">
        <v>527</v>
      </c>
      <c r="I34" s="117">
        <v>193</v>
      </c>
      <c r="J34" s="117">
        <v>1582</v>
      </c>
      <c r="K34" s="117">
        <v>1010</v>
      </c>
      <c r="L34" s="117">
        <v>454</v>
      </c>
      <c r="M34" s="117">
        <v>12501</v>
      </c>
      <c r="N34" s="117">
        <v>3997</v>
      </c>
      <c r="O34" s="117"/>
      <c r="P34" s="117"/>
      <c r="Q34" s="117"/>
      <c r="R34" s="117"/>
      <c r="S34" s="117">
        <v>17215</v>
      </c>
      <c r="T34" s="117"/>
      <c r="U34" s="117">
        <v>26766</v>
      </c>
      <c r="V34" s="117"/>
      <c r="W34" s="117">
        <v>52184</v>
      </c>
      <c r="X34" s="117"/>
      <c r="Y34" s="117"/>
      <c r="Z34" s="117"/>
      <c r="AA34" s="117">
        <v>712</v>
      </c>
      <c r="AB34" s="117"/>
      <c r="AC34" s="117"/>
      <c r="AD34" s="117"/>
      <c r="AE34" s="117"/>
      <c r="AF34" s="117"/>
      <c r="AG34" s="117"/>
      <c r="AH34" s="117"/>
      <c r="AI34" s="117">
        <f t="shared" si="3"/>
        <v>118906</v>
      </c>
      <c r="AJ34" s="211">
        <v>119972</v>
      </c>
    </row>
    <row r="35" spans="1:36" x14ac:dyDescent="0.2">
      <c r="A35" s="118"/>
      <c r="B35" s="118"/>
      <c r="C35" s="146">
        <f t="shared" si="2"/>
        <v>1996.3333324000014</v>
      </c>
      <c r="D35" s="116">
        <v>35156</v>
      </c>
      <c r="E35" s="117">
        <v>712</v>
      </c>
      <c r="F35" s="117">
        <v>748</v>
      </c>
      <c r="G35" s="117">
        <v>334</v>
      </c>
      <c r="H35" s="117">
        <v>553</v>
      </c>
      <c r="I35" s="117">
        <v>178</v>
      </c>
      <c r="J35" s="117">
        <v>1609</v>
      </c>
      <c r="K35" s="117">
        <v>1005</v>
      </c>
      <c r="L35" s="117">
        <v>458</v>
      </c>
      <c r="M35" s="117">
        <v>12333</v>
      </c>
      <c r="N35" s="117">
        <v>3888</v>
      </c>
      <c r="O35" s="117"/>
      <c r="P35" s="117"/>
      <c r="Q35" s="117"/>
      <c r="R35" s="117"/>
      <c r="S35" s="117">
        <v>17277</v>
      </c>
      <c r="T35" s="117"/>
      <c r="U35" s="117">
        <v>25854</v>
      </c>
      <c r="V35" s="117"/>
      <c r="W35" s="117">
        <v>52439</v>
      </c>
      <c r="X35" s="117"/>
      <c r="Y35" s="117"/>
      <c r="Z35" s="117"/>
      <c r="AA35" s="117">
        <v>602</v>
      </c>
      <c r="AB35" s="117"/>
      <c r="AC35" s="117"/>
      <c r="AD35" s="117"/>
      <c r="AE35" s="117"/>
      <c r="AF35" s="117"/>
      <c r="AG35" s="117"/>
      <c r="AH35" s="117"/>
      <c r="AI35" s="117">
        <f t="shared" si="3"/>
        <v>117990</v>
      </c>
      <c r="AJ35" s="211">
        <v>119972</v>
      </c>
    </row>
    <row r="36" spans="1:36" x14ac:dyDescent="0.2">
      <c r="A36" s="118"/>
      <c r="B36" s="118"/>
      <c r="C36" s="146">
        <f t="shared" si="2"/>
        <v>1996.4166657000014</v>
      </c>
      <c r="D36" s="116">
        <v>35186</v>
      </c>
      <c r="E36" s="117">
        <v>805</v>
      </c>
      <c r="F36" s="117">
        <v>751</v>
      </c>
      <c r="G36" s="117">
        <v>333</v>
      </c>
      <c r="H36" s="117">
        <v>651</v>
      </c>
      <c r="I36" s="117">
        <v>210</v>
      </c>
      <c r="J36" s="117">
        <v>1631</v>
      </c>
      <c r="K36" s="117">
        <v>1014</v>
      </c>
      <c r="L36" s="117">
        <v>461</v>
      </c>
      <c r="M36" s="117">
        <v>12195</v>
      </c>
      <c r="N36" s="117">
        <v>3797</v>
      </c>
      <c r="O36" s="117"/>
      <c r="P36" s="117"/>
      <c r="Q36" s="117"/>
      <c r="R36" s="117"/>
      <c r="S36" s="117">
        <v>18055</v>
      </c>
      <c r="T36" s="117"/>
      <c r="U36" s="117">
        <v>25059</v>
      </c>
      <c r="V36" s="117"/>
      <c r="W36" s="117">
        <v>53701</v>
      </c>
      <c r="X36" s="117"/>
      <c r="Y36" s="117"/>
      <c r="Z36" s="117"/>
      <c r="AA36" s="117">
        <v>736</v>
      </c>
      <c r="AB36" s="117"/>
      <c r="AC36" s="117"/>
      <c r="AD36" s="117"/>
      <c r="AE36" s="117"/>
      <c r="AF36" s="117"/>
      <c r="AG36" s="117"/>
      <c r="AH36" s="117"/>
      <c r="AI36" s="117">
        <f t="shared" si="3"/>
        <v>119399</v>
      </c>
      <c r="AJ36" s="211">
        <v>119972</v>
      </c>
    </row>
    <row r="37" spans="1:36" x14ac:dyDescent="0.2">
      <c r="A37" s="118"/>
      <c r="B37" s="118"/>
      <c r="C37" s="146">
        <f t="shared" si="2"/>
        <v>1996.4999990000015</v>
      </c>
      <c r="D37" s="116">
        <v>35217</v>
      </c>
      <c r="E37" s="117">
        <v>853</v>
      </c>
      <c r="F37" s="117">
        <v>807</v>
      </c>
      <c r="G37" s="117">
        <v>305</v>
      </c>
      <c r="H37" s="117">
        <v>640</v>
      </c>
      <c r="I37" s="117">
        <v>161</v>
      </c>
      <c r="J37" s="117">
        <v>1661</v>
      </c>
      <c r="K37" s="117">
        <v>983</v>
      </c>
      <c r="L37" s="117">
        <v>448</v>
      </c>
      <c r="M37" s="117">
        <v>12365</v>
      </c>
      <c r="N37" s="117">
        <v>3680</v>
      </c>
      <c r="O37" s="117"/>
      <c r="P37" s="117"/>
      <c r="Q37" s="117"/>
      <c r="R37" s="117"/>
      <c r="S37" s="117">
        <v>18453</v>
      </c>
      <c r="T37" s="117"/>
      <c r="U37" s="117">
        <v>26599</v>
      </c>
      <c r="V37" s="117"/>
      <c r="W37" s="117">
        <v>55103</v>
      </c>
      <c r="X37" s="117"/>
      <c r="Y37" s="117"/>
      <c r="Z37" s="117"/>
      <c r="AA37" s="117">
        <v>661</v>
      </c>
      <c r="AB37" s="117"/>
      <c r="AC37" s="117"/>
      <c r="AD37" s="117"/>
      <c r="AE37" s="117"/>
      <c r="AF37" s="117"/>
      <c r="AG37" s="117"/>
      <c r="AH37" s="117"/>
      <c r="AI37" s="117">
        <f t="shared" si="3"/>
        <v>122719</v>
      </c>
      <c r="AJ37" s="211">
        <v>119972</v>
      </c>
    </row>
    <row r="38" spans="1:36" x14ac:dyDescent="0.2">
      <c r="A38" s="118"/>
      <c r="B38" s="118"/>
      <c r="C38" s="146">
        <f t="shared" si="2"/>
        <v>1996.5833323000015</v>
      </c>
      <c r="D38" s="116">
        <v>35247</v>
      </c>
      <c r="E38" s="117">
        <v>804</v>
      </c>
      <c r="F38" s="117">
        <v>907</v>
      </c>
      <c r="G38" s="117">
        <v>593</v>
      </c>
      <c r="H38" s="117">
        <v>536</v>
      </c>
      <c r="I38" s="117">
        <v>249</v>
      </c>
      <c r="J38" s="117">
        <v>1598</v>
      </c>
      <c r="K38" s="117">
        <v>1129</v>
      </c>
      <c r="L38" s="117">
        <v>424</v>
      </c>
      <c r="M38" s="117">
        <v>12755</v>
      </c>
      <c r="N38" s="117">
        <v>3464</v>
      </c>
      <c r="O38" s="117"/>
      <c r="P38" s="117"/>
      <c r="Q38" s="117"/>
      <c r="R38" s="117"/>
      <c r="S38" s="117">
        <v>18239</v>
      </c>
      <c r="T38" s="117"/>
      <c r="U38" s="117">
        <v>26917</v>
      </c>
      <c r="V38" s="117"/>
      <c r="W38" s="117">
        <v>52863</v>
      </c>
      <c r="X38" s="117"/>
      <c r="Y38" s="117"/>
      <c r="Z38" s="117"/>
      <c r="AA38" s="117">
        <v>569</v>
      </c>
      <c r="AB38" s="117"/>
      <c r="AC38" s="117"/>
      <c r="AD38" s="117"/>
      <c r="AE38" s="117"/>
      <c r="AF38" s="117"/>
      <c r="AG38" s="117"/>
      <c r="AH38" s="117"/>
      <c r="AI38" s="117">
        <f t="shared" si="3"/>
        <v>121047</v>
      </c>
      <c r="AJ38" s="211">
        <v>119972</v>
      </c>
    </row>
    <row r="39" spans="1:36" x14ac:dyDescent="0.2">
      <c r="A39" s="118"/>
      <c r="B39" s="118"/>
      <c r="C39" s="146">
        <f t="shared" si="2"/>
        <v>1996.6666656000016</v>
      </c>
      <c r="D39" s="116">
        <v>35278</v>
      </c>
      <c r="E39" s="117">
        <v>779</v>
      </c>
      <c r="F39" s="117">
        <v>960</v>
      </c>
      <c r="G39" s="117">
        <v>579</v>
      </c>
      <c r="H39" s="117">
        <v>674</v>
      </c>
      <c r="I39" s="117">
        <v>192</v>
      </c>
      <c r="J39" s="117">
        <v>1847</v>
      </c>
      <c r="K39" s="117">
        <v>1209</v>
      </c>
      <c r="L39" s="117">
        <v>451</v>
      </c>
      <c r="M39" s="117">
        <f>12561+3422</f>
        <v>15983</v>
      </c>
      <c r="N39" s="117">
        <v>0</v>
      </c>
      <c r="O39" s="117"/>
      <c r="P39" s="117"/>
      <c r="Q39" s="117"/>
      <c r="R39" s="117"/>
      <c r="S39" s="117">
        <v>20242</v>
      </c>
      <c r="T39" s="117"/>
      <c r="U39" s="117">
        <v>25087</v>
      </c>
      <c r="V39" s="117"/>
      <c r="W39" s="117">
        <v>51833</v>
      </c>
      <c r="X39" s="117"/>
      <c r="Y39" s="117"/>
      <c r="Z39" s="117"/>
      <c r="AA39" s="117">
        <v>778</v>
      </c>
      <c r="AB39" s="117"/>
      <c r="AC39" s="117"/>
      <c r="AD39" s="117"/>
      <c r="AE39" s="117"/>
      <c r="AF39" s="117"/>
      <c r="AG39" s="117"/>
      <c r="AH39" s="117"/>
      <c r="AI39" s="117">
        <f t="shared" si="3"/>
        <v>120614</v>
      </c>
      <c r="AJ39" s="211">
        <v>119972</v>
      </c>
    </row>
    <row r="40" spans="1:36" x14ac:dyDescent="0.2">
      <c r="A40" s="118"/>
      <c r="B40" s="118"/>
      <c r="C40" s="146">
        <f t="shared" si="2"/>
        <v>1996.7499989000016</v>
      </c>
      <c r="D40" s="116">
        <v>35309</v>
      </c>
      <c r="E40" s="117">
        <v>797</v>
      </c>
      <c r="F40" s="117">
        <v>922</v>
      </c>
      <c r="G40" s="117">
        <v>1051</v>
      </c>
      <c r="H40" s="117">
        <v>681</v>
      </c>
      <c r="I40" s="117">
        <v>194</v>
      </c>
      <c r="J40" s="117">
        <v>1833</v>
      </c>
      <c r="K40" s="117">
        <v>1238</v>
      </c>
      <c r="L40" s="117">
        <v>438</v>
      </c>
      <c r="M40" s="117">
        <f>12409+3493</f>
        <v>15902</v>
      </c>
      <c r="N40" s="117">
        <v>0</v>
      </c>
      <c r="O40" s="117"/>
      <c r="P40" s="117"/>
      <c r="Q40" s="117"/>
      <c r="R40" s="117"/>
      <c r="S40" s="117">
        <v>18941</v>
      </c>
      <c r="T40" s="117"/>
      <c r="U40" s="117">
        <v>27577</v>
      </c>
      <c r="V40" s="117"/>
      <c r="W40" s="117">
        <v>53751</v>
      </c>
      <c r="X40" s="117"/>
      <c r="Y40" s="117"/>
      <c r="Z40" s="117"/>
      <c r="AA40" s="117">
        <v>435</v>
      </c>
      <c r="AB40" s="117"/>
      <c r="AC40" s="117"/>
      <c r="AD40" s="117"/>
      <c r="AE40" s="117"/>
      <c r="AF40" s="117"/>
      <c r="AG40" s="117"/>
      <c r="AH40" s="117"/>
      <c r="AI40" s="117">
        <f t="shared" si="3"/>
        <v>123760</v>
      </c>
      <c r="AJ40" s="211">
        <v>119972</v>
      </c>
    </row>
    <row r="41" spans="1:36" x14ac:dyDescent="0.2">
      <c r="A41" s="118"/>
      <c r="B41" s="118"/>
      <c r="C41" s="146">
        <f t="shared" si="2"/>
        <v>1996.8333322000017</v>
      </c>
      <c r="D41" s="116">
        <v>35339</v>
      </c>
      <c r="E41" s="117">
        <v>792</v>
      </c>
      <c r="F41" s="117">
        <v>930</v>
      </c>
      <c r="G41" s="117">
        <v>1231</v>
      </c>
      <c r="H41" s="117">
        <v>734</v>
      </c>
      <c r="I41" s="117">
        <v>205</v>
      </c>
      <c r="J41" s="117">
        <v>1921</v>
      </c>
      <c r="K41" s="117">
        <v>1252</v>
      </c>
      <c r="L41" s="117">
        <v>435</v>
      </c>
      <c r="M41" s="117">
        <f>12073+3470</f>
        <v>15543</v>
      </c>
      <c r="N41" s="117">
        <v>0</v>
      </c>
      <c r="O41" s="117"/>
      <c r="P41" s="117"/>
      <c r="Q41" s="117"/>
      <c r="R41" s="117"/>
      <c r="S41" s="117">
        <v>21463</v>
      </c>
      <c r="T41" s="117"/>
      <c r="U41" s="117">
        <v>28141</v>
      </c>
      <c r="V41" s="117"/>
      <c r="W41" s="117">
        <v>51642</v>
      </c>
      <c r="X41" s="117"/>
      <c r="Y41" s="117"/>
      <c r="Z41" s="117"/>
      <c r="AA41" s="117">
        <v>577</v>
      </c>
      <c r="AB41" s="117"/>
      <c r="AC41" s="117"/>
      <c r="AD41" s="117"/>
      <c r="AE41" s="117"/>
      <c r="AF41" s="117"/>
      <c r="AG41" s="117"/>
      <c r="AH41" s="117"/>
      <c r="AI41" s="117">
        <f>SUM(E41:AA41)</f>
        <v>124866</v>
      </c>
      <c r="AJ41" s="211">
        <v>119972</v>
      </c>
    </row>
    <row r="42" spans="1:36" x14ac:dyDescent="0.2">
      <c r="A42" s="118"/>
      <c r="B42" s="118"/>
      <c r="C42" s="146">
        <f t="shared" si="2"/>
        <v>1996.9166655000017</v>
      </c>
      <c r="D42" s="116">
        <v>35370</v>
      </c>
      <c r="E42" s="117">
        <v>827</v>
      </c>
      <c r="F42" s="117">
        <v>915</v>
      </c>
      <c r="G42" s="117">
        <v>1451</v>
      </c>
      <c r="H42" s="117">
        <v>760</v>
      </c>
      <c r="I42" s="117">
        <v>196</v>
      </c>
      <c r="J42" s="117">
        <v>1740</v>
      </c>
      <c r="K42" s="117">
        <v>1038</v>
      </c>
      <c r="L42" s="117">
        <v>410</v>
      </c>
      <c r="M42" s="117">
        <v>15519</v>
      </c>
      <c r="N42" s="117">
        <v>0</v>
      </c>
      <c r="O42" s="117"/>
      <c r="P42" s="117"/>
      <c r="Q42" s="117"/>
      <c r="R42" s="117"/>
      <c r="S42" s="117">
        <v>17130</v>
      </c>
      <c r="T42" s="117"/>
      <c r="U42" s="117">
        <v>26979</v>
      </c>
      <c r="V42" s="117"/>
      <c r="W42" s="117">
        <v>49476</v>
      </c>
      <c r="X42" s="117"/>
      <c r="Y42" s="117"/>
      <c r="Z42" s="117"/>
      <c r="AA42" s="117">
        <v>538</v>
      </c>
      <c r="AB42" s="117"/>
      <c r="AC42" s="117"/>
      <c r="AD42" s="117"/>
      <c r="AE42" s="117"/>
      <c r="AF42" s="117"/>
      <c r="AG42" s="117"/>
      <c r="AH42" s="117"/>
      <c r="AI42" s="117">
        <f>SUM(E42:AA42)</f>
        <v>116979</v>
      </c>
      <c r="AJ42" s="211">
        <v>119972</v>
      </c>
    </row>
    <row r="43" spans="1:36" x14ac:dyDescent="0.2">
      <c r="A43" s="118"/>
      <c r="B43" s="118"/>
      <c r="C43" s="146">
        <f t="shared" si="2"/>
        <v>1996.9999988000018</v>
      </c>
      <c r="D43" s="116">
        <v>35400</v>
      </c>
      <c r="E43" s="119">
        <v>803</v>
      </c>
      <c r="F43" s="119">
        <v>943</v>
      </c>
      <c r="G43" s="119">
        <v>1757</v>
      </c>
      <c r="H43" s="119">
        <v>705</v>
      </c>
      <c r="I43" s="119">
        <v>180</v>
      </c>
      <c r="J43" s="119">
        <v>2519</v>
      </c>
      <c r="K43" s="119">
        <v>1747</v>
      </c>
      <c r="L43" s="119">
        <v>389</v>
      </c>
      <c r="M43" s="119">
        <v>15854</v>
      </c>
      <c r="N43" s="119">
        <v>0</v>
      </c>
      <c r="O43" s="119"/>
      <c r="P43" s="119"/>
      <c r="Q43" s="119"/>
      <c r="R43" s="119"/>
      <c r="S43" s="119">
        <v>18694</v>
      </c>
      <c r="T43" s="119"/>
      <c r="U43" s="119">
        <v>25951</v>
      </c>
      <c r="V43" s="119"/>
      <c r="W43" s="119">
        <v>49723</v>
      </c>
      <c r="X43" s="119"/>
      <c r="Y43" s="119"/>
      <c r="Z43" s="119"/>
      <c r="AA43" s="119">
        <v>616</v>
      </c>
      <c r="AB43" s="119"/>
      <c r="AC43" s="119"/>
      <c r="AD43" s="119"/>
      <c r="AE43" s="119"/>
      <c r="AF43" s="119"/>
      <c r="AG43" s="119"/>
      <c r="AH43" s="119"/>
      <c r="AI43" s="119">
        <f>SUM(E43:AA43)</f>
        <v>119881</v>
      </c>
      <c r="AJ43" s="211">
        <v>119972</v>
      </c>
    </row>
    <row r="44" spans="1:36" x14ac:dyDescent="0.2">
      <c r="A44" s="118"/>
      <c r="B44" s="118"/>
      <c r="C44" s="146">
        <f t="shared" si="2"/>
        <v>1997.0833321000018</v>
      </c>
      <c r="D44" s="116">
        <v>35431</v>
      </c>
      <c r="E44" s="117">
        <v>801</v>
      </c>
      <c r="F44" s="117">
        <v>864</v>
      </c>
      <c r="G44" s="117">
        <v>1405</v>
      </c>
      <c r="H44" s="117">
        <v>589</v>
      </c>
      <c r="I44" s="117">
        <v>178</v>
      </c>
      <c r="J44" s="117">
        <v>2500</v>
      </c>
      <c r="K44" s="117">
        <v>1537</v>
      </c>
      <c r="L44" s="117">
        <v>408</v>
      </c>
      <c r="M44" s="117">
        <v>14000</v>
      </c>
      <c r="N44" s="117">
        <v>0</v>
      </c>
      <c r="O44" s="117"/>
      <c r="P44" s="117"/>
      <c r="Q44" s="117"/>
      <c r="R44" s="117"/>
      <c r="S44" s="117">
        <v>18134</v>
      </c>
      <c r="T44" s="117"/>
      <c r="U44" s="117">
        <v>25133</v>
      </c>
      <c r="V44" s="117"/>
      <c r="W44" s="117">
        <v>51478</v>
      </c>
      <c r="X44" s="117"/>
      <c r="Y44" s="117"/>
      <c r="Z44" s="117"/>
      <c r="AA44" s="117">
        <v>653</v>
      </c>
      <c r="AB44" s="117"/>
      <c r="AC44" s="117"/>
      <c r="AD44" s="117"/>
      <c r="AE44" s="117"/>
      <c r="AF44" s="117"/>
      <c r="AG44" s="117"/>
      <c r="AH44" s="117"/>
      <c r="AI44" s="117">
        <v>117680</v>
      </c>
      <c r="AJ44" s="205">
        <v>118239</v>
      </c>
    </row>
    <row r="45" spans="1:36" x14ac:dyDescent="0.2">
      <c r="A45" s="118"/>
      <c r="B45" s="118"/>
      <c r="C45" s="146">
        <f t="shared" si="2"/>
        <v>1997.1666654000019</v>
      </c>
      <c r="D45" s="116">
        <v>35462</v>
      </c>
      <c r="E45" s="117">
        <v>776</v>
      </c>
      <c r="F45" s="117">
        <v>929</v>
      </c>
      <c r="G45" s="117">
        <v>1653</v>
      </c>
      <c r="H45" s="117">
        <v>558</v>
      </c>
      <c r="I45" s="117">
        <v>174</v>
      </c>
      <c r="J45" s="117">
        <v>2841</v>
      </c>
      <c r="K45" s="117">
        <v>1518</v>
      </c>
      <c r="L45" s="117">
        <v>431</v>
      </c>
      <c r="M45" s="117">
        <v>14059</v>
      </c>
      <c r="N45" s="117">
        <v>0</v>
      </c>
      <c r="O45" s="117"/>
      <c r="P45" s="117"/>
      <c r="Q45" s="117"/>
      <c r="R45" s="117"/>
      <c r="S45" s="117">
        <v>17985</v>
      </c>
      <c r="T45" s="117"/>
      <c r="U45" s="117">
        <v>24790</v>
      </c>
      <c r="V45" s="117"/>
      <c r="W45" s="117">
        <v>54031</v>
      </c>
      <c r="X45" s="117"/>
      <c r="Y45" s="117"/>
      <c r="Z45" s="117"/>
      <c r="AA45" s="117">
        <v>573</v>
      </c>
      <c r="AB45" s="117"/>
      <c r="AC45" s="117"/>
      <c r="AD45" s="117"/>
      <c r="AE45" s="117"/>
      <c r="AF45" s="117"/>
      <c r="AG45" s="117"/>
      <c r="AH45" s="117"/>
      <c r="AI45" s="117">
        <v>120317</v>
      </c>
      <c r="AJ45" s="205">
        <v>118239</v>
      </c>
    </row>
    <row r="46" spans="1:36" x14ac:dyDescent="0.2">
      <c r="A46" s="118"/>
      <c r="B46" s="118"/>
      <c r="C46" s="146">
        <f t="shared" si="2"/>
        <v>1997.2499987000019</v>
      </c>
      <c r="D46" s="116">
        <v>35490</v>
      </c>
      <c r="E46" s="117">
        <v>691</v>
      </c>
      <c r="F46" s="117">
        <v>878</v>
      </c>
      <c r="G46" s="117">
        <v>1417</v>
      </c>
      <c r="H46" s="117">
        <v>527</v>
      </c>
      <c r="I46" s="117">
        <v>178</v>
      </c>
      <c r="J46" s="117">
        <v>3418</v>
      </c>
      <c r="K46" s="117">
        <v>1263</v>
      </c>
      <c r="L46" s="117">
        <v>398</v>
      </c>
      <c r="M46" s="117">
        <v>14480</v>
      </c>
      <c r="N46" s="117">
        <v>0</v>
      </c>
      <c r="O46" s="117"/>
      <c r="P46" s="117"/>
      <c r="Q46" s="117"/>
      <c r="R46" s="117"/>
      <c r="S46" s="117">
        <v>17453</v>
      </c>
      <c r="T46" s="117"/>
      <c r="U46" s="117">
        <v>27272</v>
      </c>
      <c r="V46" s="117"/>
      <c r="W46" s="117">
        <v>55105</v>
      </c>
      <c r="X46" s="117"/>
      <c r="Y46" s="117"/>
      <c r="Z46" s="117"/>
      <c r="AA46" s="117">
        <v>656</v>
      </c>
      <c r="AB46" s="117"/>
      <c r="AC46" s="117"/>
      <c r="AD46" s="117"/>
      <c r="AE46" s="117"/>
      <c r="AF46" s="117"/>
      <c r="AG46" s="117"/>
      <c r="AH46" s="117"/>
      <c r="AI46" s="117">
        <v>123737</v>
      </c>
      <c r="AJ46" s="205">
        <v>118239</v>
      </c>
    </row>
    <row r="47" spans="1:36" x14ac:dyDescent="0.2">
      <c r="A47" s="118"/>
      <c r="B47" s="118"/>
      <c r="C47" s="146">
        <f t="shared" si="2"/>
        <v>1997.333332000002</v>
      </c>
      <c r="D47" s="116">
        <v>35521</v>
      </c>
      <c r="E47" s="117">
        <v>662</v>
      </c>
      <c r="F47" s="117">
        <v>942</v>
      </c>
      <c r="G47" s="117">
        <v>1423</v>
      </c>
      <c r="H47" s="117">
        <v>492</v>
      </c>
      <c r="I47" s="117">
        <v>169</v>
      </c>
      <c r="J47" s="117">
        <v>2443</v>
      </c>
      <c r="K47" s="117">
        <v>1842</v>
      </c>
      <c r="L47" s="117">
        <v>419</v>
      </c>
      <c r="M47" s="117">
        <v>14193</v>
      </c>
      <c r="N47" s="117">
        <v>0</v>
      </c>
      <c r="O47" s="117"/>
      <c r="P47" s="117"/>
      <c r="Q47" s="117"/>
      <c r="R47" s="117"/>
      <c r="S47" s="117">
        <v>17357</v>
      </c>
      <c r="T47" s="117"/>
      <c r="U47" s="117">
        <v>24595</v>
      </c>
      <c r="V47" s="117"/>
      <c r="W47" s="117">
        <v>59260</v>
      </c>
      <c r="X47" s="117"/>
      <c r="Y47" s="117"/>
      <c r="Z47" s="117"/>
      <c r="AA47" s="117">
        <v>657</v>
      </c>
      <c r="AB47" s="117"/>
      <c r="AC47" s="117"/>
      <c r="AD47" s="117"/>
      <c r="AE47" s="117"/>
      <c r="AF47" s="117"/>
      <c r="AG47" s="117"/>
      <c r="AH47" s="117"/>
      <c r="AI47" s="117">
        <v>124454</v>
      </c>
      <c r="AJ47" s="205">
        <v>118239</v>
      </c>
    </row>
    <row r="48" spans="1:36" x14ac:dyDescent="0.2">
      <c r="A48" s="118"/>
      <c r="B48" s="118"/>
      <c r="C48" s="146">
        <f t="shared" si="2"/>
        <v>1997.416665300002</v>
      </c>
      <c r="D48" s="116">
        <v>35551</v>
      </c>
      <c r="E48" s="117">
        <v>673</v>
      </c>
      <c r="F48" s="117">
        <v>971</v>
      </c>
      <c r="G48" s="117">
        <v>1218</v>
      </c>
      <c r="H48" s="117">
        <v>570</v>
      </c>
      <c r="I48" s="117">
        <v>178</v>
      </c>
      <c r="J48" s="117">
        <v>2982</v>
      </c>
      <c r="K48" s="117">
        <v>1654</v>
      </c>
      <c r="L48" s="117">
        <v>405</v>
      </c>
      <c r="M48" s="117">
        <v>14297</v>
      </c>
      <c r="N48" s="117">
        <v>0</v>
      </c>
      <c r="O48" s="117"/>
      <c r="P48" s="117"/>
      <c r="Q48" s="117"/>
      <c r="R48" s="117"/>
      <c r="S48" s="117">
        <v>18104</v>
      </c>
      <c r="T48" s="117"/>
      <c r="U48" s="117">
        <v>25461</v>
      </c>
      <c r="V48" s="117"/>
      <c r="W48" s="117">
        <v>56112</v>
      </c>
      <c r="X48" s="117"/>
      <c r="Y48" s="117"/>
      <c r="Z48" s="117"/>
      <c r="AA48" s="117">
        <f>419+173</f>
        <v>592</v>
      </c>
      <c r="AB48" s="117"/>
      <c r="AC48" s="117"/>
      <c r="AD48" s="117"/>
      <c r="AE48" s="117"/>
      <c r="AF48" s="117"/>
      <c r="AG48" s="117"/>
      <c r="AH48" s="117"/>
      <c r="AI48" s="117">
        <v>123217</v>
      </c>
      <c r="AJ48" s="205">
        <v>118239</v>
      </c>
    </row>
    <row r="49" spans="1:36" x14ac:dyDescent="0.2">
      <c r="A49" s="118"/>
      <c r="B49" s="118"/>
      <c r="C49" s="146">
        <f t="shared" si="2"/>
        <v>1997.4999986000021</v>
      </c>
      <c r="D49" s="116">
        <v>35582</v>
      </c>
      <c r="E49" s="117">
        <v>734</v>
      </c>
      <c r="F49" s="117">
        <v>940</v>
      </c>
      <c r="G49" s="117">
        <v>1186</v>
      </c>
      <c r="H49" s="117">
        <v>619</v>
      </c>
      <c r="I49" s="117">
        <v>187</v>
      </c>
      <c r="J49" s="117">
        <v>3359</v>
      </c>
      <c r="K49" s="117">
        <v>1751</v>
      </c>
      <c r="L49" s="117">
        <v>408</v>
      </c>
      <c r="M49" s="117">
        <v>14472</v>
      </c>
      <c r="N49" s="117"/>
      <c r="O49" s="117"/>
      <c r="P49" s="117"/>
      <c r="Q49" s="117"/>
      <c r="R49" s="117"/>
      <c r="S49" s="117">
        <v>17655</v>
      </c>
      <c r="T49" s="117"/>
      <c r="U49" s="117">
        <v>26397</v>
      </c>
      <c r="V49" s="117"/>
      <c r="W49" s="117">
        <v>52460</v>
      </c>
      <c r="X49" s="117"/>
      <c r="Y49" s="117"/>
      <c r="Z49" s="117"/>
      <c r="AA49" s="117">
        <f>420+121</f>
        <v>541</v>
      </c>
      <c r="AB49" s="117"/>
      <c r="AC49" s="117"/>
      <c r="AD49" s="117"/>
      <c r="AE49" s="117"/>
      <c r="AF49" s="117"/>
      <c r="AG49" s="117"/>
      <c r="AH49" s="117"/>
      <c r="AI49" s="117">
        <v>120708</v>
      </c>
      <c r="AJ49" s="205">
        <v>118239</v>
      </c>
    </row>
    <row r="50" spans="1:36" x14ac:dyDescent="0.2">
      <c r="A50" s="118"/>
      <c r="B50" s="118"/>
      <c r="C50" s="146">
        <f t="shared" si="2"/>
        <v>1997.5833319000021</v>
      </c>
      <c r="D50" s="116">
        <v>35612</v>
      </c>
      <c r="E50" s="117">
        <v>700</v>
      </c>
      <c r="F50" s="117">
        <v>1005</v>
      </c>
      <c r="G50" s="117">
        <v>1214</v>
      </c>
      <c r="H50" s="117">
        <v>640</v>
      </c>
      <c r="I50" s="117">
        <v>183</v>
      </c>
      <c r="J50" s="117">
        <v>4876</v>
      </c>
      <c r="K50" s="117">
        <v>1652</v>
      </c>
      <c r="L50" s="117">
        <v>409</v>
      </c>
      <c r="M50" s="117">
        <v>14294</v>
      </c>
      <c r="N50" s="117"/>
      <c r="O50" s="117"/>
      <c r="P50" s="117"/>
      <c r="Q50" s="117"/>
      <c r="R50" s="117"/>
      <c r="S50" s="117">
        <v>17138</v>
      </c>
      <c r="T50" s="117"/>
      <c r="U50" s="117">
        <v>26661</v>
      </c>
      <c r="V50" s="117"/>
      <c r="W50" s="117">
        <v>46047</v>
      </c>
      <c r="X50" s="117"/>
      <c r="Y50" s="117"/>
      <c r="Z50" s="117"/>
      <c r="AA50" s="117">
        <f>429+140</f>
        <v>569</v>
      </c>
      <c r="AB50" s="117"/>
      <c r="AC50" s="117"/>
      <c r="AD50" s="117"/>
      <c r="AE50" s="117"/>
      <c r="AF50" s="117"/>
      <c r="AG50" s="117"/>
      <c r="AH50" s="117"/>
      <c r="AI50" s="117">
        <v>115387</v>
      </c>
      <c r="AJ50" s="205">
        <v>118239</v>
      </c>
    </row>
    <row r="51" spans="1:36" x14ac:dyDescent="0.2">
      <c r="A51" s="118"/>
      <c r="B51" s="118"/>
      <c r="C51" s="146">
        <f t="shared" si="2"/>
        <v>1997.6666652000022</v>
      </c>
      <c r="D51" s="116">
        <v>35643</v>
      </c>
      <c r="E51" s="117">
        <v>700</v>
      </c>
      <c r="F51" s="117">
        <v>1006</v>
      </c>
      <c r="G51" s="117">
        <v>1395</v>
      </c>
      <c r="H51" s="117">
        <v>546</v>
      </c>
      <c r="I51" s="117">
        <v>168</v>
      </c>
      <c r="J51" s="117">
        <v>4026</v>
      </c>
      <c r="K51" s="117">
        <v>1760</v>
      </c>
      <c r="L51" s="117">
        <v>457</v>
      </c>
      <c r="M51" s="117">
        <v>15204</v>
      </c>
      <c r="N51" s="117"/>
      <c r="O51" s="117"/>
      <c r="P51" s="117"/>
      <c r="Q51" s="117"/>
      <c r="R51" s="117"/>
      <c r="S51" s="117">
        <v>17108</v>
      </c>
      <c r="T51" s="117"/>
      <c r="U51" s="117">
        <v>27403</v>
      </c>
      <c r="V51" s="117"/>
      <c r="W51" s="117">
        <v>45706</v>
      </c>
      <c r="X51" s="117"/>
      <c r="Y51" s="117"/>
      <c r="Z51" s="117"/>
      <c r="AA51" s="117">
        <v>575</v>
      </c>
      <c r="AB51" s="117"/>
      <c r="AC51" s="117"/>
      <c r="AD51" s="117"/>
      <c r="AE51" s="117"/>
      <c r="AF51" s="117"/>
      <c r="AG51" s="117"/>
      <c r="AH51" s="117"/>
      <c r="AI51" s="117">
        <v>116054</v>
      </c>
      <c r="AJ51" s="205">
        <v>118239</v>
      </c>
    </row>
    <row r="52" spans="1:36" x14ac:dyDescent="0.2">
      <c r="A52" s="118"/>
      <c r="B52" s="118"/>
      <c r="C52" s="146">
        <f t="shared" si="2"/>
        <v>1997.7499985000022</v>
      </c>
      <c r="D52" s="116">
        <v>35674</v>
      </c>
      <c r="E52" s="117">
        <v>710</v>
      </c>
      <c r="F52" s="117">
        <v>986</v>
      </c>
      <c r="G52" s="117">
        <v>1622</v>
      </c>
      <c r="H52" s="117">
        <v>512</v>
      </c>
      <c r="I52" s="117">
        <v>177</v>
      </c>
      <c r="J52" s="117">
        <v>4143</v>
      </c>
      <c r="K52" s="117">
        <v>1819</v>
      </c>
      <c r="L52" s="117">
        <v>469</v>
      </c>
      <c r="M52" s="117">
        <v>14739</v>
      </c>
      <c r="N52" s="117"/>
      <c r="O52" s="117"/>
      <c r="P52" s="117"/>
      <c r="Q52" s="117"/>
      <c r="R52" s="117"/>
      <c r="S52" s="117">
        <v>16941</v>
      </c>
      <c r="T52" s="117"/>
      <c r="U52" s="117">
        <v>29086</v>
      </c>
      <c r="V52" s="117"/>
      <c r="W52" s="117">
        <v>44085</v>
      </c>
      <c r="X52" s="117"/>
      <c r="Y52" s="117"/>
      <c r="Z52" s="117"/>
      <c r="AA52" s="117">
        <f>153+432</f>
        <v>585</v>
      </c>
      <c r="AB52" s="117"/>
      <c r="AC52" s="117"/>
      <c r="AD52" s="117"/>
      <c r="AE52" s="117"/>
      <c r="AF52" s="117"/>
      <c r="AG52" s="117"/>
      <c r="AH52" s="117"/>
      <c r="AI52" s="117">
        <v>115871</v>
      </c>
      <c r="AJ52" s="205">
        <v>118239</v>
      </c>
    </row>
    <row r="53" spans="1:36" x14ac:dyDescent="0.2">
      <c r="A53" s="118"/>
      <c r="B53" s="118"/>
      <c r="C53" s="146">
        <f t="shared" si="2"/>
        <v>1997.8333318000023</v>
      </c>
      <c r="D53" s="116">
        <v>35704</v>
      </c>
      <c r="E53" s="117">
        <v>695</v>
      </c>
      <c r="F53" s="117">
        <v>944</v>
      </c>
      <c r="G53" s="117">
        <v>1680</v>
      </c>
      <c r="H53" s="117">
        <v>520</v>
      </c>
      <c r="I53" s="117">
        <v>168</v>
      </c>
      <c r="J53" s="117">
        <v>4228</v>
      </c>
      <c r="K53" s="117">
        <v>2012</v>
      </c>
      <c r="L53" s="117">
        <v>440</v>
      </c>
      <c r="M53" s="117">
        <v>15237</v>
      </c>
      <c r="N53" s="117"/>
      <c r="O53" s="117"/>
      <c r="P53" s="117"/>
      <c r="Q53" s="117"/>
      <c r="R53" s="117"/>
      <c r="S53" s="117">
        <v>16621</v>
      </c>
      <c r="T53" s="117"/>
      <c r="U53" s="117">
        <v>28655</v>
      </c>
      <c r="V53" s="117"/>
      <c r="W53" s="117">
        <v>44605</v>
      </c>
      <c r="X53" s="117"/>
      <c r="Y53" s="117"/>
      <c r="Z53" s="117"/>
      <c r="AA53" s="117">
        <f>380+67</f>
        <v>447</v>
      </c>
      <c r="AB53" s="117"/>
      <c r="AC53" s="117"/>
      <c r="AD53" s="117"/>
      <c r="AE53" s="117"/>
      <c r="AF53" s="117"/>
      <c r="AG53" s="117"/>
      <c r="AH53" s="117"/>
      <c r="AI53" s="117">
        <v>116251</v>
      </c>
      <c r="AJ53" s="205">
        <v>118239</v>
      </c>
    </row>
    <row r="54" spans="1:36" x14ac:dyDescent="0.2">
      <c r="A54" s="118"/>
      <c r="B54" s="118"/>
      <c r="C54" s="146">
        <f t="shared" si="2"/>
        <v>1997.9166651000023</v>
      </c>
      <c r="D54" s="116">
        <v>35735</v>
      </c>
      <c r="E54" s="117">
        <v>682</v>
      </c>
      <c r="F54" s="117">
        <v>905</v>
      </c>
      <c r="G54" s="117">
        <v>1769</v>
      </c>
      <c r="H54" s="117">
        <v>593</v>
      </c>
      <c r="I54" s="117">
        <v>163</v>
      </c>
      <c r="J54" s="117">
        <v>4300</v>
      </c>
      <c r="K54" s="117">
        <v>2005</v>
      </c>
      <c r="L54" s="117">
        <v>429</v>
      </c>
      <c r="M54" s="117">
        <v>14608</v>
      </c>
      <c r="N54" s="117"/>
      <c r="O54" s="117"/>
      <c r="P54" s="117"/>
      <c r="Q54" s="117"/>
      <c r="R54" s="117"/>
      <c r="S54" s="117">
        <v>16664</v>
      </c>
      <c r="T54" s="117"/>
      <c r="U54" s="117">
        <v>27233</v>
      </c>
      <c r="V54" s="117"/>
      <c r="W54" s="117">
        <v>41490</v>
      </c>
      <c r="X54" s="117"/>
      <c r="Y54" s="117"/>
      <c r="Z54" s="117"/>
      <c r="AA54" s="117">
        <f>158+406</f>
        <v>564</v>
      </c>
      <c r="AB54" s="117"/>
      <c r="AC54" s="117"/>
      <c r="AD54" s="117"/>
      <c r="AE54" s="117"/>
      <c r="AF54" s="117"/>
      <c r="AG54" s="117"/>
      <c r="AH54" s="117"/>
      <c r="AI54" s="117">
        <f>SUM(E54:AA54)</f>
        <v>111405</v>
      </c>
      <c r="AJ54" s="205">
        <v>118239</v>
      </c>
    </row>
    <row r="55" spans="1:36" x14ac:dyDescent="0.2">
      <c r="A55" s="118"/>
      <c r="B55" s="118"/>
      <c r="C55" s="146">
        <f t="shared" si="2"/>
        <v>1997.9999984000024</v>
      </c>
      <c r="D55" s="116">
        <v>35765</v>
      </c>
      <c r="E55" s="117">
        <v>692</v>
      </c>
      <c r="F55" s="117">
        <v>838</v>
      </c>
      <c r="G55" s="117">
        <v>1695</v>
      </c>
      <c r="H55" s="117">
        <v>669</v>
      </c>
      <c r="I55" s="117">
        <v>142</v>
      </c>
      <c r="J55" s="117">
        <v>4471</v>
      </c>
      <c r="K55" s="117">
        <v>2016</v>
      </c>
      <c r="L55" s="117">
        <v>366</v>
      </c>
      <c r="M55" s="117">
        <v>14249</v>
      </c>
      <c r="N55" s="117"/>
      <c r="O55" s="117"/>
      <c r="P55" s="117"/>
      <c r="Q55" s="117"/>
      <c r="R55" s="117"/>
      <c r="S55" s="117">
        <v>16750</v>
      </c>
      <c r="T55" s="117"/>
      <c r="U55" s="117">
        <v>27407</v>
      </c>
      <c r="V55" s="117"/>
      <c r="W55" s="117">
        <v>44156</v>
      </c>
      <c r="X55" s="117"/>
      <c r="Y55" s="117"/>
      <c r="Z55" s="117"/>
      <c r="AA55" s="117">
        <f>420+96</f>
        <v>516</v>
      </c>
      <c r="AB55" s="117"/>
      <c r="AC55" s="117"/>
      <c r="AD55" s="117"/>
      <c r="AE55" s="117"/>
      <c r="AF55" s="117"/>
      <c r="AG55" s="117"/>
      <c r="AH55" s="117"/>
      <c r="AI55" s="117">
        <f>SUM(E55:AA55)</f>
        <v>113967</v>
      </c>
      <c r="AJ55" s="205">
        <v>118239</v>
      </c>
    </row>
    <row r="56" spans="1:36" x14ac:dyDescent="0.2">
      <c r="A56" s="118"/>
      <c r="B56" s="118"/>
      <c r="C56" s="146">
        <f t="shared" si="2"/>
        <v>1998.0833317000024</v>
      </c>
      <c r="D56" s="116">
        <v>35796</v>
      </c>
      <c r="E56" s="117">
        <v>601</v>
      </c>
      <c r="F56" s="117">
        <v>510</v>
      </c>
      <c r="G56" s="117">
        <v>1162</v>
      </c>
      <c r="H56" s="117">
        <v>523</v>
      </c>
      <c r="I56" s="117">
        <v>105</v>
      </c>
      <c r="J56" s="117">
        <v>3051</v>
      </c>
      <c r="K56" s="117">
        <v>1190</v>
      </c>
      <c r="L56" s="117">
        <v>384</v>
      </c>
      <c r="M56" s="117">
        <v>13204</v>
      </c>
      <c r="N56" s="117"/>
      <c r="O56" s="117"/>
      <c r="P56" s="117"/>
      <c r="Q56" s="117"/>
      <c r="R56" s="117"/>
      <c r="S56" s="117">
        <v>15920</v>
      </c>
      <c r="T56" s="117"/>
      <c r="U56" s="117">
        <v>28757</v>
      </c>
      <c r="V56" s="117"/>
      <c r="W56" s="117">
        <v>49565</v>
      </c>
      <c r="X56" s="117"/>
      <c r="Y56" s="117"/>
      <c r="Z56" s="117"/>
      <c r="AA56" s="117">
        <f>384+169</f>
        <v>553</v>
      </c>
      <c r="AB56" s="117"/>
      <c r="AC56" s="117"/>
      <c r="AD56" s="117"/>
      <c r="AE56" s="117"/>
      <c r="AF56" s="117"/>
      <c r="AG56" s="117"/>
      <c r="AH56" s="117"/>
      <c r="AI56" s="117">
        <v>115525</v>
      </c>
      <c r="AJ56" s="205">
        <v>115593</v>
      </c>
    </row>
    <row r="57" spans="1:36" x14ac:dyDescent="0.2">
      <c r="A57" s="118"/>
      <c r="B57" s="118"/>
      <c r="C57" s="146">
        <f t="shared" si="2"/>
        <v>1998.1666650000025</v>
      </c>
      <c r="D57" s="116">
        <v>35827</v>
      </c>
      <c r="E57" s="117">
        <v>573</v>
      </c>
      <c r="F57" s="117">
        <v>563</v>
      </c>
      <c r="G57" s="117">
        <v>1313</v>
      </c>
      <c r="H57" s="117">
        <v>489</v>
      </c>
      <c r="I57" s="117">
        <v>97</v>
      </c>
      <c r="J57" s="117">
        <v>2849</v>
      </c>
      <c r="K57" s="117">
        <v>1010</v>
      </c>
      <c r="L57" s="117">
        <v>338</v>
      </c>
      <c r="M57" s="117">
        <v>11906</v>
      </c>
      <c r="N57" s="117"/>
      <c r="O57" s="117"/>
      <c r="P57" s="117"/>
      <c r="Q57" s="117"/>
      <c r="R57" s="117"/>
      <c r="S57" s="117">
        <v>17784</v>
      </c>
      <c r="T57" s="117"/>
      <c r="U57" s="117">
        <v>27637</v>
      </c>
      <c r="V57" s="117"/>
      <c r="W57" s="117">
        <v>53026</v>
      </c>
      <c r="X57" s="117"/>
      <c r="Y57" s="117"/>
      <c r="Z57" s="117"/>
      <c r="AA57" s="117">
        <f>427+131</f>
        <v>558</v>
      </c>
      <c r="AB57" s="117"/>
      <c r="AC57" s="117"/>
      <c r="AD57" s="117"/>
      <c r="AE57" s="117"/>
      <c r="AF57" s="117"/>
      <c r="AG57" s="117"/>
      <c r="AH57" s="117"/>
      <c r="AI57" s="117">
        <v>118142</v>
      </c>
      <c r="AJ57" s="205">
        <f>AJ56</f>
        <v>115593</v>
      </c>
    </row>
    <row r="58" spans="1:36" x14ac:dyDescent="0.2">
      <c r="A58" s="118"/>
      <c r="B58" s="118"/>
      <c r="C58" s="146">
        <f t="shared" si="2"/>
        <v>1998.2499983000025</v>
      </c>
      <c r="D58" s="116">
        <v>35855</v>
      </c>
      <c r="E58" s="117">
        <v>465</v>
      </c>
      <c r="F58" s="117">
        <v>454</v>
      </c>
      <c r="G58" s="117">
        <v>937</v>
      </c>
      <c r="H58" s="117">
        <v>280</v>
      </c>
      <c r="I58" s="117">
        <v>61</v>
      </c>
      <c r="J58" s="117">
        <v>2192</v>
      </c>
      <c r="K58" s="117">
        <v>587</v>
      </c>
      <c r="L58" s="117">
        <v>242</v>
      </c>
      <c r="M58" s="117">
        <v>7643</v>
      </c>
      <c r="N58" s="117"/>
      <c r="O58" s="117"/>
      <c r="P58" s="117"/>
      <c r="Q58" s="117"/>
      <c r="R58" s="117"/>
      <c r="S58" s="117">
        <v>15660</v>
      </c>
      <c r="T58" s="117"/>
      <c r="U58" s="117">
        <v>25825</v>
      </c>
      <c r="V58" s="117"/>
      <c r="W58" s="117">
        <v>54092</v>
      </c>
      <c r="X58" s="117"/>
      <c r="Y58" s="117"/>
      <c r="Z58" s="117"/>
      <c r="AA58" s="117">
        <f>339+104</f>
        <v>443</v>
      </c>
      <c r="AB58" s="117"/>
      <c r="AC58" s="117">
        <v>10</v>
      </c>
      <c r="AD58" s="117"/>
      <c r="AE58" s="117"/>
      <c r="AF58" s="117"/>
      <c r="AG58" s="117"/>
      <c r="AH58" s="117"/>
      <c r="AI58" s="117">
        <f>SUM(E58:AC58)</f>
        <v>108891</v>
      </c>
      <c r="AJ58" s="205">
        <f>AJ57</f>
        <v>115593</v>
      </c>
    </row>
    <row r="59" spans="1:36" x14ac:dyDescent="0.2">
      <c r="A59" s="118"/>
      <c r="B59" s="118"/>
      <c r="C59" s="146">
        <f t="shared" si="2"/>
        <v>1998.3333316000026</v>
      </c>
      <c r="D59" s="116">
        <v>35886</v>
      </c>
      <c r="E59" s="117">
        <v>557</v>
      </c>
      <c r="F59" s="117">
        <v>631</v>
      </c>
      <c r="G59" s="117">
        <v>1112</v>
      </c>
      <c r="H59" s="117">
        <v>392</v>
      </c>
      <c r="I59" s="117">
        <v>120</v>
      </c>
      <c r="J59" s="117">
        <v>2888</v>
      </c>
      <c r="K59" s="117">
        <v>731</v>
      </c>
      <c r="L59" s="117">
        <v>385</v>
      </c>
      <c r="M59" s="117">
        <v>15480</v>
      </c>
      <c r="N59" s="117"/>
      <c r="O59" s="117"/>
      <c r="P59" s="117"/>
      <c r="Q59" s="117"/>
      <c r="R59" s="117"/>
      <c r="S59" s="117">
        <v>16374</v>
      </c>
      <c r="T59" s="117"/>
      <c r="U59" s="117">
        <v>25877</v>
      </c>
      <c r="V59" s="117"/>
      <c r="W59" s="117">
        <v>48091</v>
      </c>
      <c r="X59" s="117"/>
      <c r="Y59" s="117"/>
      <c r="Z59" s="117"/>
      <c r="AA59" s="117">
        <f>437+138</f>
        <v>575</v>
      </c>
      <c r="AB59" s="117"/>
      <c r="AC59" s="117">
        <v>3</v>
      </c>
      <c r="AD59" s="117"/>
      <c r="AE59" s="117"/>
      <c r="AF59" s="117"/>
      <c r="AG59" s="117"/>
      <c r="AH59" s="117"/>
      <c r="AI59" s="117">
        <v>113214</v>
      </c>
      <c r="AJ59" s="205">
        <f>AJ58</f>
        <v>115593</v>
      </c>
    </row>
    <row r="60" spans="1:36" x14ac:dyDescent="0.2">
      <c r="A60" s="118"/>
      <c r="B60" s="118"/>
      <c r="C60" s="146">
        <f t="shared" si="2"/>
        <v>1998.4166649000026</v>
      </c>
      <c r="D60" s="116">
        <v>35916</v>
      </c>
      <c r="E60" s="117">
        <v>633</v>
      </c>
      <c r="F60" s="117">
        <v>710</v>
      </c>
      <c r="G60" s="117">
        <v>975</v>
      </c>
      <c r="H60" s="117">
        <v>530</v>
      </c>
      <c r="I60" s="117">
        <v>140</v>
      </c>
      <c r="J60" s="117">
        <v>3191</v>
      </c>
      <c r="K60" s="117">
        <v>1424</v>
      </c>
      <c r="L60" s="117">
        <v>324</v>
      </c>
      <c r="M60" s="117">
        <v>12820</v>
      </c>
      <c r="N60" s="117"/>
      <c r="O60" s="117"/>
      <c r="P60" s="117"/>
      <c r="Q60" s="117"/>
      <c r="R60" s="117"/>
      <c r="S60" s="117">
        <v>16072</v>
      </c>
      <c r="T60" s="117"/>
      <c r="U60" s="117">
        <v>25929</v>
      </c>
      <c r="V60" s="117"/>
      <c r="W60" s="117">
        <v>48390</v>
      </c>
      <c r="X60" s="117"/>
      <c r="Y60" s="117"/>
      <c r="Z60" s="117"/>
      <c r="AA60" s="117">
        <f>353+87</f>
        <v>440</v>
      </c>
      <c r="AB60" s="117"/>
      <c r="AC60" s="117">
        <f>2356+3</f>
        <v>2359</v>
      </c>
      <c r="AD60" s="117"/>
      <c r="AE60" s="117"/>
      <c r="AF60" s="117"/>
      <c r="AG60" s="117"/>
      <c r="AH60" s="117"/>
      <c r="AI60" s="117">
        <v>113938</v>
      </c>
      <c r="AJ60" s="205">
        <f>AJ59</f>
        <v>115593</v>
      </c>
    </row>
    <row r="61" spans="1:36" x14ac:dyDescent="0.2">
      <c r="A61" s="118"/>
      <c r="B61" s="118"/>
      <c r="C61" s="146">
        <f t="shared" si="2"/>
        <v>1998.4999982000027</v>
      </c>
      <c r="D61" s="116">
        <v>35947</v>
      </c>
      <c r="E61" s="117">
        <v>687</v>
      </c>
      <c r="F61" s="117">
        <v>817</v>
      </c>
      <c r="G61" s="117">
        <v>958</v>
      </c>
      <c r="H61" s="117">
        <v>554</v>
      </c>
      <c r="I61" s="117">
        <v>208</v>
      </c>
      <c r="J61" s="117">
        <v>3533</v>
      </c>
      <c r="K61" s="117">
        <v>1714</v>
      </c>
      <c r="L61" s="117">
        <v>348</v>
      </c>
      <c r="M61" s="117">
        <v>13448</v>
      </c>
      <c r="N61" s="117"/>
      <c r="O61" s="117"/>
      <c r="P61" s="117"/>
      <c r="Q61" s="117"/>
      <c r="R61" s="117"/>
      <c r="S61" s="117">
        <v>15393</v>
      </c>
      <c r="T61" s="117"/>
      <c r="U61" s="117">
        <v>25636</v>
      </c>
      <c r="V61" s="117"/>
      <c r="W61" s="117">
        <v>49428</v>
      </c>
      <c r="X61" s="117"/>
      <c r="Y61" s="117"/>
      <c r="Z61" s="117"/>
      <c r="AA61" s="117">
        <f>361+50</f>
        <v>411</v>
      </c>
      <c r="AB61" s="117"/>
      <c r="AC61" s="117">
        <v>2143</v>
      </c>
      <c r="AD61" s="117"/>
      <c r="AE61" s="117"/>
      <c r="AF61" s="117"/>
      <c r="AG61" s="117"/>
      <c r="AH61" s="117"/>
      <c r="AI61" s="117">
        <f>SUM(E61:AC61)</f>
        <v>115278</v>
      </c>
      <c r="AJ61" s="205">
        <f t="shared" ref="AJ61:AJ67" si="4">+AJ60</f>
        <v>115593</v>
      </c>
    </row>
    <row r="62" spans="1:36" x14ac:dyDescent="0.2">
      <c r="A62" s="118"/>
      <c r="B62" s="118"/>
      <c r="C62" s="146">
        <f t="shared" si="2"/>
        <v>1998.5833315000027</v>
      </c>
      <c r="D62" s="116">
        <v>35977</v>
      </c>
      <c r="E62" s="117">
        <v>694</v>
      </c>
      <c r="F62" s="117">
        <v>807</v>
      </c>
      <c r="G62" s="117">
        <v>921</v>
      </c>
      <c r="H62" s="117">
        <v>512</v>
      </c>
      <c r="I62" s="117">
        <v>184</v>
      </c>
      <c r="J62" s="117">
        <v>3567</v>
      </c>
      <c r="K62" s="117">
        <v>1653</v>
      </c>
      <c r="L62" s="117">
        <v>360</v>
      </c>
      <c r="M62" s="117">
        <v>13902</v>
      </c>
      <c r="N62" s="117"/>
      <c r="O62" s="117"/>
      <c r="P62" s="117"/>
      <c r="Q62" s="117"/>
      <c r="R62" s="117"/>
      <c r="S62" s="117">
        <v>16308</v>
      </c>
      <c r="T62" s="117"/>
      <c r="U62" s="117">
        <v>26331</v>
      </c>
      <c r="V62" s="117"/>
      <c r="W62" s="117">
        <v>48880</v>
      </c>
      <c r="X62" s="117"/>
      <c r="Y62" s="117"/>
      <c r="Z62" s="117"/>
      <c r="AA62" s="117">
        <f>300+117</f>
        <v>417</v>
      </c>
      <c r="AB62" s="117"/>
      <c r="AC62" s="117">
        <v>3286</v>
      </c>
      <c r="AD62" s="117"/>
      <c r="AE62" s="117"/>
      <c r="AF62" s="117"/>
      <c r="AG62" s="117"/>
      <c r="AH62" s="117"/>
      <c r="AI62" s="117">
        <f>SUM(E62:AC62)</f>
        <v>117822</v>
      </c>
      <c r="AJ62" s="205">
        <f t="shared" si="4"/>
        <v>115593</v>
      </c>
    </row>
    <row r="63" spans="1:36" x14ac:dyDescent="0.2">
      <c r="A63" s="118"/>
      <c r="B63" s="118"/>
      <c r="C63" s="146">
        <f t="shared" si="2"/>
        <v>1998.6666648000028</v>
      </c>
      <c r="D63" s="116">
        <v>36008</v>
      </c>
      <c r="E63" s="117">
        <v>686</v>
      </c>
      <c r="F63" s="117">
        <v>821</v>
      </c>
      <c r="G63" s="117">
        <v>848</v>
      </c>
      <c r="H63" s="117">
        <v>521</v>
      </c>
      <c r="I63" s="117">
        <v>177</v>
      </c>
      <c r="J63" s="117">
        <v>3517</v>
      </c>
      <c r="K63" s="117">
        <v>1532</v>
      </c>
      <c r="L63" s="117">
        <v>405</v>
      </c>
      <c r="M63" s="117">
        <v>14797</v>
      </c>
      <c r="N63" s="117"/>
      <c r="O63" s="117"/>
      <c r="P63" s="117"/>
      <c r="Q63" s="117"/>
      <c r="R63" s="117"/>
      <c r="S63" s="117">
        <v>15299</v>
      </c>
      <c r="T63" s="117"/>
      <c r="U63" s="117">
        <v>28287</v>
      </c>
      <c r="V63" s="117"/>
      <c r="W63" s="117">
        <v>48597</v>
      </c>
      <c r="X63" s="117"/>
      <c r="Y63" s="117"/>
      <c r="Z63" s="117"/>
      <c r="AA63" s="117">
        <f>212+320</f>
        <v>532</v>
      </c>
      <c r="AB63" s="117"/>
      <c r="AC63" s="117">
        <v>3235</v>
      </c>
      <c r="AD63" s="117"/>
      <c r="AE63" s="117"/>
      <c r="AF63" s="117"/>
      <c r="AG63" s="117"/>
      <c r="AH63" s="117"/>
      <c r="AI63" s="117">
        <f>SUM(E63:AC63)</f>
        <v>119254</v>
      </c>
      <c r="AJ63" s="205">
        <f t="shared" si="4"/>
        <v>115593</v>
      </c>
    </row>
    <row r="64" spans="1:36" x14ac:dyDescent="0.2">
      <c r="A64" s="118"/>
      <c r="B64" s="118"/>
      <c r="C64" s="146">
        <f t="shared" si="2"/>
        <v>1998.7499981000028</v>
      </c>
      <c r="D64" s="116">
        <v>36039</v>
      </c>
      <c r="E64" s="117">
        <v>691</v>
      </c>
      <c r="F64" s="117">
        <v>830</v>
      </c>
      <c r="G64" s="117">
        <v>937</v>
      </c>
      <c r="H64" s="117">
        <v>514</v>
      </c>
      <c r="I64" s="117">
        <v>154</v>
      </c>
      <c r="J64" s="117">
        <v>3218</v>
      </c>
      <c r="K64" s="117">
        <v>1490</v>
      </c>
      <c r="L64" s="117">
        <v>408</v>
      </c>
      <c r="M64" s="117">
        <v>14769</v>
      </c>
      <c r="N64" s="117"/>
      <c r="O64" s="117"/>
      <c r="P64" s="117"/>
      <c r="Q64" s="117"/>
      <c r="R64" s="117"/>
      <c r="S64" s="117">
        <v>15346</v>
      </c>
      <c r="T64" s="117"/>
      <c r="U64" s="117">
        <v>30025</v>
      </c>
      <c r="V64" s="117"/>
      <c r="W64" s="117">
        <v>46312</v>
      </c>
      <c r="X64" s="117"/>
      <c r="Y64" s="117"/>
      <c r="Z64" s="117"/>
      <c r="AA64" s="117">
        <f>378+11</f>
        <v>389</v>
      </c>
      <c r="AB64" s="117"/>
      <c r="AC64" s="117">
        <v>3205</v>
      </c>
      <c r="AD64" s="117"/>
      <c r="AE64" s="117"/>
      <c r="AF64" s="117"/>
      <c r="AG64" s="117"/>
      <c r="AH64" s="117"/>
      <c r="AI64" s="117">
        <v>118287</v>
      </c>
      <c r="AJ64" s="205">
        <f t="shared" si="4"/>
        <v>115593</v>
      </c>
    </row>
    <row r="65" spans="1:36" x14ac:dyDescent="0.2">
      <c r="A65" s="118"/>
      <c r="B65" s="118"/>
      <c r="C65" s="146">
        <f t="shared" si="2"/>
        <v>1998.8333314000029</v>
      </c>
      <c r="D65" s="116">
        <v>36069</v>
      </c>
      <c r="E65" s="117">
        <v>638</v>
      </c>
      <c r="F65" s="117">
        <v>853</v>
      </c>
      <c r="G65" s="117">
        <v>942</v>
      </c>
      <c r="H65" s="117">
        <v>502</v>
      </c>
      <c r="I65" s="117">
        <v>168</v>
      </c>
      <c r="J65" s="117">
        <v>3331</v>
      </c>
      <c r="K65" s="117">
        <v>1508</v>
      </c>
      <c r="L65" s="117">
        <v>402</v>
      </c>
      <c r="M65" s="117">
        <v>14131</v>
      </c>
      <c r="N65" s="117"/>
      <c r="O65" s="117"/>
      <c r="P65" s="117"/>
      <c r="Q65" s="117"/>
      <c r="R65" s="117"/>
      <c r="S65" s="117">
        <v>15079</v>
      </c>
      <c r="T65" s="117"/>
      <c r="U65" s="117">
        <v>30471</v>
      </c>
      <c r="V65" s="117"/>
      <c r="W65" s="117">
        <v>47433</v>
      </c>
      <c r="X65" s="117"/>
      <c r="Y65" s="117"/>
      <c r="Z65" s="117"/>
      <c r="AA65" s="117">
        <f>359+165</f>
        <v>524</v>
      </c>
      <c r="AB65" s="117"/>
      <c r="AC65" s="117">
        <v>3620</v>
      </c>
      <c r="AD65" s="117"/>
      <c r="AE65" s="117"/>
      <c r="AF65" s="117"/>
      <c r="AG65" s="117"/>
      <c r="AH65" s="117"/>
      <c r="AI65" s="117">
        <v>119601</v>
      </c>
      <c r="AJ65" s="205">
        <f t="shared" si="4"/>
        <v>115593</v>
      </c>
    </row>
    <row r="66" spans="1:36" x14ac:dyDescent="0.2">
      <c r="A66" s="118"/>
      <c r="B66" s="118"/>
      <c r="C66" s="146">
        <f t="shared" si="2"/>
        <v>1998.9166647000029</v>
      </c>
      <c r="D66" s="116">
        <v>36100</v>
      </c>
      <c r="E66" s="117">
        <v>677</v>
      </c>
      <c r="F66" s="117">
        <v>826</v>
      </c>
      <c r="G66" s="117">
        <v>944</v>
      </c>
      <c r="H66" s="117">
        <v>491</v>
      </c>
      <c r="I66" s="117">
        <v>163</v>
      </c>
      <c r="J66" s="117">
        <v>3242</v>
      </c>
      <c r="K66" s="117">
        <v>1513</v>
      </c>
      <c r="L66" s="117">
        <v>412</v>
      </c>
      <c r="M66" s="117">
        <v>14058</v>
      </c>
      <c r="N66" s="117"/>
      <c r="O66" s="117"/>
      <c r="P66" s="117"/>
      <c r="Q66" s="117"/>
      <c r="R66" s="117"/>
      <c r="S66" s="117">
        <v>14835</v>
      </c>
      <c r="T66" s="117"/>
      <c r="U66" s="117">
        <v>30368</v>
      </c>
      <c r="V66" s="117"/>
      <c r="W66" s="117">
        <v>42933</v>
      </c>
      <c r="X66" s="117"/>
      <c r="Y66" s="117"/>
      <c r="Z66" s="117"/>
      <c r="AA66" s="117">
        <f>284+135</f>
        <v>419</v>
      </c>
      <c r="AB66" s="117"/>
      <c r="AC66" s="117">
        <v>3717</v>
      </c>
      <c r="AD66" s="117"/>
      <c r="AE66" s="117"/>
      <c r="AF66" s="117"/>
      <c r="AG66" s="117"/>
      <c r="AH66" s="117"/>
      <c r="AI66" s="117">
        <f>SUM(E66:AC66)-1</f>
        <v>114597</v>
      </c>
      <c r="AJ66" s="205">
        <f t="shared" si="4"/>
        <v>115593</v>
      </c>
    </row>
    <row r="67" spans="1:36" x14ac:dyDescent="0.2">
      <c r="A67" s="118"/>
      <c r="B67" s="118"/>
      <c r="C67" s="146">
        <f t="shared" si="2"/>
        <v>1998.999998000003</v>
      </c>
      <c r="D67" s="116">
        <v>36130</v>
      </c>
      <c r="E67" s="117">
        <v>658</v>
      </c>
      <c r="F67" s="117">
        <v>781</v>
      </c>
      <c r="G67" s="117">
        <v>851</v>
      </c>
      <c r="H67" s="117">
        <v>519</v>
      </c>
      <c r="I67" s="117">
        <v>157</v>
      </c>
      <c r="J67" s="117">
        <v>3248</v>
      </c>
      <c r="K67" s="117">
        <v>1504</v>
      </c>
      <c r="L67" s="117">
        <v>404</v>
      </c>
      <c r="M67" s="117">
        <v>14093</v>
      </c>
      <c r="N67" s="117"/>
      <c r="O67" s="117"/>
      <c r="P67" s="117"/>
      <c r="Q67" s="117"/>
      <c r="R67" s="117"/>
      <c r="S67" s="117">
        <v>15165</v>
      </c>
      <c r="T67" s="117"/>
      <c r="U67" s="117">
        <v>29302</v>
      </c>
      <c r="V67" s="117"/>
      <c r="W67" s="117">
        <v>41924</v>
      </c>
      <c r="X67" s="117"/>
      <c r="Y67" s="117"/>
      <c r="Z67" s="117"/>
      <c r="AA67" s="117">
        <f>373+113</f>
        <v>486</v>
      </c>
      <c r="AB67" s="117"/>
      <c r="AC67" s="117">
        <v>3689</v>
      </c>
      <c r="AD67" s="117"/>
      <c r="AE67" s="117"/>
      <c r="AF67" s="117"/>
      <c r="AG67" s="117"/>
      <c r="AH67" s="117"/>
      <c r="AI67" s="117">
        <f>SUM(E67:AC67)-1</f>
        <v>112780</v>
      </c>
      <c r="AJ67" s="205">
        <f t="shared" si="4"/>
        <v>115593</v>
      </c>
    </row>
    <row r="68" spans="1:36" x14ac:dyDescent="0.2">
      <c r="A68" s="118"/>
      <c r="B68" s="118"/>
      <c r="C68" s="146">
        <f t="shared" si="2"/>
        <v>1999.083331300003</v>
      </c>
      <c r="D68" s="116">
        <v>36161</v>
      </c>
      <c r="E68" s="117">
        <v>689</v>
      </c>
      <c r="F68" s="117">
        <v>803</v>
      </c>
      <c r="G68" s="117">
        <v>906</v>
      </c>
      <c r="H68" s="117">
        <v>487</v>
      </c>
      <c r="I68" s="117">
        <v>150</v>
      </c>
      <c r="J68" s="117">
        <v>3337</v>
      </c>
      <c r="K68" s="117">
        <v>1470</v>
      </c>
      <c r="L68" s="117">
        <v>393</v>
      </c>
      <c r="M68" s="117">
        <v>13801</v>
      </c>
      <c r="N68" s="117"/>
      <c r="O68" s="117"/>
      <c r="P68" s="117"/>
      <c r="Q68" s="117"/>
      <c r="R68" s="117"/>
      <c r="S68" s="117">
        <v>14779</v>
      </c>
      <c r="T68" s="117"/>
      <c r="U68" s="117">
        <v>28425</v>
      </c>
      <c r="V68" s="117"/>
      <c r="W68" s="117">
        <v>42060</v>
      </c>
      <c r="X68" s="117"/>
      <c r="Y68" s="117"/>
      <c r="Z68" s="117"/>
      <c r="AA68" s="117">
        <f>388+178</f>
        <v>566</v>
      </c>
      <c r="AB68" s="117"/>
      <c r="AC68" s="117">
        <v>3119</v>
      </c>
      <c r="AD68" s="117"/>
      <c r="AE68" s="117"/>
      <c r="AF68" s="117"/>
      <c r="AG68" s="117"/>
      <c r="AH68" s="117"/>
      <c r="AI68" s="117">
        <f>SUM(E68:AC68)-1</f>
        <v>110984</v>
      </c>
      <c r="AJ68" s="205">
        <v>105927</v>
      </c>
    </row>
    <row r="69" spans="1:36" x14ac:dyDescent="0.2">
      <c r="A69" s="118"/>
      <c r="B69" s="118"/>
      <c r="C69" s="146">
        <f t="shared" si="2"/>
        <v>1999.1666646000031</v>
      </c>
      <c r="D69" s="116">
        <v>36192</v>
      </c>
      <c r="E69" s="117">
        <v>715</v>
      </c>
      <c r="F69" s="117">
        <v>707</v>
      </c>
      <c r="G69" s="117">
        <v>825</v>
      </c>
      <c r="H69" s="117">
        <v>469</v>
      </c>
      <c r="I69" s="117">
        <v>154</v>
      </c>
      <c r="J69" s="117">
        <v>3327</v>
      </c>
      <c r="K69" s="117">
        <v>1480</v>
      </c>
      <c r="L69" s="117">
        <v>369</v>
      </c>
      <c r="M69" s="117">
        <v>13531</v>
      </c>
      <c r="N69" s="117"/>
      <c r="O69" s="117"/>
      <c r="P69" s="117"/>
      <c r="Q69" s="117"/>
      <c r="R69" s="117"/>
      <c r="S69" s="117">
        <v>14671</v>
      </c>
      <c r="T69" s="117"/>
      <c r="U69" s="117">
        <v>26984</v>
      </c>
      <c r="V69" s="117"/>
      <c r="W69" s="117">
        <v>42923</v>
      </c>
      <c r="X69" s="117"/>
      <c r="Y69" s="117"/>
      <c r="Z69" s="117"/>
      <c r="AA69" s="117">
        <f>332+124</f>
        <v>456</v>
      </c>
      <c r="AB69" s="117"/>
      <c r="AC69" s="117">
        <v>3260</v>
      </c>
      <c r="AD69" s="117"/>
      <c r="AE69" s="117"/>
      <c r="AF69" s="117"/>
      <c r="AG69" s="117"/>
      <c r="AH69" s="117"/>
      <c r="AI69" s="117">
        <f>SUM(E69:AC69)+1</f>
        <v>109872</v>
      </c>
      <c r="AJ69" s="205">
        <f t="shared" ref="AJ69:AJ78" si="5">+AJ68</f>
        <v>105927</v>
      </c>
    </row>
    <row r="70" spans="1:36" x14ac:dyDescent="0.2">
      <c r="A70" s="118"/>
      <c r="B70" s="118"/>
      <c r="C70" s="146">
        <f t="shared" si="2"/>
        <v>1999.2499979000031</v>
      </c>
      <c r="D70" s="116">
        <v>36220</v>
      </c>
      <c r="E70" s="120">
        <v>658</v>
      </c>
      <c r="F70" s="117">
        <v>716</v>
      </c>
      <c r="G70" s="117">
        <v>853</v>
      </c>
      <c r="H70" s="117">
        <v>480</v>
      </c>
      <c r="I70" s="117">
        <v>144</v>
      </c>
      <c r="J70" s="117">
        <v>3232</v>
      </c>
      <c r="K70" s="117">
        <v>1443</v>
      </c>
      <c r="L70" s="117">
        <v>369</v>
      </c>
      <c r="M70" s="117">
        <v>13213</v>
      </c>
      <c r="N70" s="117"/>
      <c r="O70" s="117"/>
      <c r="P70" s="117"/>
      <c r="Q70" s="117"/>
      <c r="R70" s="117"/>
      <c r="S70" s="117">
        <v>14525</v>
      </c>
      <c r="T70" s="117"/>
      <c r="U70" s="117">
        <v>27210</v>
      </c>
      <c r="V70" s="117"/>
      <c r="W70" s="117">
        <v>41508</v>
      </c>
      <c r="X70" s="117"/>
      <c r="Y70" s="117"/>
      <c r="Z70" s="117"/>
      <c r="AA70" s="117">
        <f>98+307</f>
        <v>405</v>
      </c>
      <c r="AB70" s="117"/>
      <c r="AC70" s="117">
        <f>3620+5</f>
        <v>3625</v>
      </c>
      <c r="AD70" s="117"/>
      <c r="AE70" s="117"/>
      <c r="AF70" s="117"/>
      <c r="AG70" s="117"/>
      <c r="AH70" s="117"/>
      <c r="AI70" s="117">
        <f>SUM(E70:AC70)-1</f>
        <v>108380</v>
      </c>
      <c r="AJ70" s="205">
        <f t="shared" si="5"/>
        <v>105927</v>
      </c>
    </row>
    <row r="71" spans="1:36" x14ac:dyDescent="0.2">
      <c r="A71" s="118"/>
      <c r="B71" s="118"/>
      <c r="C71" s="146">
        <f t="shared" si="2"/>
        <v>1999.3333312000032</v>
      </c>
      <c r="D71" s="116">
        <v>36251</v>
      </c>
      <c r="E71" s="120">
        <v>646</v>
      </c>
      <c r="F71" s="117">
        <v>692</v>
      </c>
      <c r="G71" s="117">
        <v>923</v>
      </c>
      <c r="H71" s="117">
        <v>494</v>
      </c>
      <c r="I71" s="117">
        <v>147</v>
      </c>
      <c r="J71" s="117">
        <v>3203</v>
      </c>
      <c r="K71" s="117">
        <v>1453</v>
      </c>
      <c r="L71" s="117">
        <v>367</v>
      </c>
      <c r="M71" s="117">
        <v>13227</v>
      </c>
      <c r="N71" s="117"/>
      <c r="O71" s="117"/>
      <c r="P71" s="117"/>
      <c r="Q71" s="117"/>
      <c r="R71" s="117"/>
      <c r="S71" s="117">
        <v>14807</v>
      </c>
      <c r="T71" s="117"/>
      <c r="U71" s="117">
        <v>25928</v>
      </c>
      <c r="V71" s="117"/>
      <c r="W71" s="117">
        <v>41705</v>
      </c>
      <c r="X71" s="117"/>
      <c r="Y71" s="117"/>
      <c r="Z71" s="117"/>
      <c r="AA71" s="117">
        <f>375+141</f>
        <v>516</v>
      </c>
      <c r="AB71" s="117"/>
      <c r="AC71" s="117">
        <f>3504+4</f>
        <v>3508</v>
      </c>
      <c r="AD71" s="117"/>
      <c r="AE71" s="117"/>
      <c r="AF71" s="117"/>
      <c r="AG71" s="117"/>
      <c r="AH71" s="117"/>
      <c r="AI71" s="117">
        <f>SUM(E71:AC71)</f>
        <v>107616</v>
      </c>
      <c r="AJ71" s="205">
        <f t="shared" si="5"/>
        <v>105927</v>
      </c>
    </row>
    <row r="72" spans="1:36" x14ac:dyDescent="0.2">
      <c r="A72" s="118"/>
      <c r="B72" s="118"/>
      <c r="C72" s="146">
        <f t="shared" si="2"/>
        <v>1999.4166645000032</v>
      </c>
      <c r="D72" s="116">
        <v>36281</v>
      </c>
      <c r="E72" s="117">
        <v>664</v>
      </c>
      <c r="F72" s="117">
        <v>696</v>
      </c>
      <c r="G72" s="117">
        <v>912</v>
      </c>
      <c r="H72" s="117">
        <v>536</v>
      </c>
      <c r="I72" s="117">
        <v>160</v>
      </c>
      <c r="J72" s="117">
        <v>3154</v>
      </c>
      <c r="K72" s="117">
        <v>1462</v>
      </c>
      <c r="L72" s="117">
        <v>370</v>
      </c>
      <c r="M72" s="117">
        <v>12885</v>
      </c>
      <c r="N72" s="117"/>
      <c r="O72" s="117"/>
      <c r="P72" s="117"/>
      <c r="Q72" s="117"/>
      <c r="R72" s="117"/>
      <c r="S72" s="117">
        <v>14309</v>
      </c>
      <c r="T72" s="117"/>
      <c r="U72" s="117">
        <v>25372</v>
      </c>
      <c r="V72" s="117"/>
      <c r="W72" s="117">
        <v>41228</v>
      </c>
      <c r="X72" s="117"/>
      <c r="Y72" s="117"/>
      <c r="Z72" s="117"/>
      <c r="AA72" s="117">
        <f>298+83</f>
        <v>381</v>
      </c>
      <c r="AB72" s="117"/>
      <c r="AC72" s="117">
        <f>1857+0</f>
        <v>1857</v>
      </c>
      <c r="AD72" s="117"/>
      <c r="AE72" s="117"/>
      <c r="AF72" s="117"/>
      <c r="AG72" s="117"/>
      <c r="AH72" s="117"/>
      <c r="AI72" s="117">
        <v>103987</v>
      </c>
      <c r="AJ72" s="205">
        <f t="shared" si="5"/>
        <v>105927</v>
      </c>
    </row>
    <row r="73" spans="1:36" x14ac:dyDescent="0.2">
      <c r="A73" s="118"/>
      <c r="B73" s="118"/>
      <c r="C73" s="146">
        <f t="shared" si="2"/>
        <v>1999.4999978000033</v>
      </c>
      <c r="D73" s="116">
        <v>36312</v>
      </c>
      <c r="E73" s="117">
        <v>641</v>
      </c>
      <c r="F73" s="117">
        <v>701</v>
      </c>
      <c r="G73" s="117">
        <v>896</v>
      </c>
      <c r="H73" s="117">
        <v>535</v>
      </c>
      <c r="I73" s="117">
        <v>149</v>
      </c>
      <c r="J73" s="117">
        <v>3107</v>
      </c>
      <c r="K73" s="117">
        <v>1426</v>
      </c>
      <c r="L73" s="117">
        <v>355</v>
      </c>
      <c r="M73" s="117">
        <v>12889</v>
      </c>
      <c r="N73" s="117"/>
      <c r="O73" s="117"/>
      <c r="P73" s="117"/>
      <c r="Q73" s="117"/>
      <c r="R73" s="117"/>
      <c r="S73" s="117">
        <v>13660</v>
      </c>
      <c r="T73" s="117"/>
      <c r="U73" s="117">
        <v>29815</v>
      </c>
      <c r="V73" s="117"/>
      <c r="W73" s="117">
        <v>40778</v>
      </c>
      <c r="X73" s="117"/>
      <c r="Y73" s="117"/>
      <c r="Z73" s="117"/>
      <c r="AA73" s="117">
        <f>379+170</f>
        <v>549</v>
      </c>
      <c r="AB73" s="117"/>
      <c r="AC73" s="117">
        <f>3087+9</f>
        <v>3096</v>
      </c>
      <c r="AD73" s="117"/>
      <c r="AE73" s="117"/>
      <c r="AF73" s="117"/>
      <c r="AG73" s="117"/>
      <c r="AH73" s="117"/>
      <c r="AI73" s="117">
        <f>SUM(E73:AC73)</f>
        <v>108597</v>
      </c>
      <c r="AJ73" s="205">
        <f t="shared" si="5"/>
        <v>105927</v>
      </c>
    </row>
    <row r="74" spans="1:36" x14ac:dyDescent="0.2">
      <c r="A74" s="118"/>
      <c r="B74" s="118"/>
      <c r="C74" s="146">
        <f t="shared" si="2"/>
        <v>1999.5833311000033</v>
      </c>
      <c r="D74" s="116">
        <v>36342</v>
      </c>
      <c r="E74" s="117">
        <v>648</v>
      </c>
      <c r="F74" s="117">
        <v>864</v>
      </c>
      <c r="G74" s="117">
        <v>827</v>
      </c>
      <c r="H74" s="117">
        <v>479</v>
      </c>
      <c r="I74" s="117">
        <v>155</v>
      </c>
      <c r="J74" s="117">
        <v>3026</v>
      </c>
      <c r="K74" s="117">
        <v>1490</v>
      </c>
      <c r="L74" s="117">
        <v>354</v>
      </c>
      <c r="M74" s="117">
        <v>12824</v>
      </c>
      <c r="N74" s="117"/>
      <c r="O74" s="117"/>
      <c r="P74" s="117"/>
      <c r="Q74" s="117"/>
      <c r="R74" s="117"/>
      <c r="S74" s="117">
        <v>13979</v>
      </c>
      <c r="T74" s="117"/>
      <c r="U74" s="117">
        <v>27290</v>
      </c>
      <c r="V74" s="117"/>
      <c r="W74" s="117">
        <v>41142</v>
      </c>
      <c r="X74" s="117"/>
      <c r="Y74" s="117"/>
      <c r="Z74" s="117"/>
      <c r="AA74" s="117">
        <f>82+370</f>
        <v>452</v>
      </c>
      <c r="AB74" s="117"/>
      <c r="AC74" s="117">
        <f>3850+9</f>
        <v>3859</v>
      </c>
      <c r="AD74" s="117"/>
      <c r="AE74" s="117"/>
      <c r="AF74" s="117"/>
      <c r="AG74" s="117"/>
      <c r="AH74" s="117"/>
      <c r="AI74" s="117">
        <v>107391</v>
      </c>
      <c r="AJ74" s="205">
        <f t="shared" si="5"/>
        <v>105927</v>
      </c>
    </row>
    <row r="75" spans="1:36" x14ac:dyDescent="0.2">
      <c r="A75" s="118"/>
      <c r="B75" s="118"/>
      <c r="C75" s="146">
        <f t="shared" si="2"/>
        <v>1999.6666644000034</v>
      </c>
      <c r="D75" s="116">
        <v>36373</v>
      </c>
      <c r="E75" s="117">
        <v>628</v>
      </c>
      <c r="F75" s="117">
        <v>793</v>
      </c>
      <c r="G75" s="117">
        <v>800</v>
      </c>
      <c r="H75" s="117">
        <v>489</v>
      </c>
      <c r="I75" s="117">
        <v>160</v>
      </c>
      <c r="J75" s="117">
        <v>2906</v>
      </c>
      <c r="K75" s="117">
        <v>1605</v>
      </c>
      <c r="L75" s="117">
        <v>356</v>
      </c>
      <c r="M75" s="117">
        <v>12612</v>
      </c>
      <c r="N75" s="117"/>
      <c r="O75" s="117"/>
      <c r="P75" s="117"/>
      <c r="Q75" s="117"/>
      <c r="R75" s="117"/>
      <c r="S75" s="117">
        <v>13464</v>
      </c>
      <c r="T75" s="117"/>
      <c r="U75" s="117">
        <v>25814</v>
      </c>
      <c r="V75" s="117"/>
      <c r="W75" s="117">
        <v>40410</v>
      </c>
      <c r="X75" s="117"/>
      <c r="Y75" s="117"/>
      <c r="Z75" s="117"/>
      <c r="AA75" s="117">
        <f>282+138</f>
        <v>420</v>
      </c>
      <c r="AB75" s="117"/>
      <c r="AC75" s="117">
        <v>3612</v>
      </c>
      <c r="AD75" s="117"/>
      <c r="AE75" s="117"/>
      <c r="AF75" s="117"/>
      <c r="AG75" s="117"/>
      <c r="AH75" s="117"/>
      <c r="AI75" s="117">
        <f>SUM(E75:AC75)</f>
        <v>104069</v>
      </c>
      <c r="AJ75" s="205">
        <f t="shared" si="5"/>
        <v>105927</v>
      </c>
    </row>
    <row r="76" spans="1:36" x14ac:dyDescent="0.2">
      <c r="A76" s="118"/>
      <c r="B76" s="118"/>
      <c r="C76" s="146">
        <f t="shared" si="2"/>
        <v>1999.7499977000034</v>
      </c>
      <c r="D76" s="116">
        <v>36404</v>
      </c>
      <c r="E76" s="117">
        <v>614</v>
      </c>
      <c r="F76" s="117">
        <v>834</v>
      </c>
      <c r="G76" s="117">
        <v>791</v>
      </c>
      <c r="H76" s="117">
        <v>507</v>
      </c>
      <c r="I76" s="117">
        <v>161</v>
      </c>
      <c r="J76" s="117">
        <v>2648</v>
      </c>
      <c r="K76" s="117">
        <v>1566</v>
      </c>
      <c r="L76" s="117">
        <v>341</v>
      </c>
      <c r="M76" s="117">
        <v>12298</v>
      </c>
      <c r="N76" s="117"/>
      <c r="O76" s="117"/>
      <c r="P76" s="117"/>
      <c r="Q76" s="117"/>
      <c r="R76" s="117"/>
      <c r="S76" s="117">
        <v>13416</v>
      </c>
      <c r="T76" s="117"/>
      <c r="U76" s="117">
        <v>27000</v>
      </c>
      <c r="V76" s="117"/>
      <c r="W76" s="117">
        <v>39549</v>
      </c>
      <c r="X76" s="117"/>
      <c r="Y76" s="117"/>
      <c r="Z76" s="117"/>
      <c r="AA76" s="117">
        <f>396+76</f>
        <v>472</v>
      </c>
      <c r="AB76" s="117"/>
      <c r="AC76" s="117">
        <f>3688+3</f>
        <v>3691</v>
      </c>
      <c r="AD76" s="117"/>
      <c r="AE76" s="117"/>
      <c r="AF76" s="117"/>
      <c r="AG76" s="117"/>
      <c r="AH76" s="117"/>
      <c r="AI76" s="117">
        <v>103887</v>
      </c>
      <c r="AJ76" s="205">
        <f t="shared" si="5"/>
        <v>105927</v>
      </c>
    </row>
    <row r="77" spans="1:36" x14ac:dyDescent="0.2">
      <c r="A77" s="118"/>
      <c r="B77" s="118"/>
      <c r="C77" s="146">
        <f t="shared" si="2"/>
        <v>1999.8333310000035</v>
      </c>
      <c r="D77" s="116">
        <v>36434</v>
      </c>
      <c r="E77" s="117">
        <v>631</v>
      </c>
      <c r="F77" s="117">
        <v>764</v>
      </c>
      <c r="G77" s="117">
        <v>861</v>
      </c>
      <c r="H77" s="117">
        <v>566</v>
      </c>
      <c r="I77" s="117">
        <v>158</v>
      </c>
      <c r="J77" s="117">
        <v>2723</v>
      </c>
      <c r="K77" s="117">
        <v>1550</v>
      </c>
      <c r="L77" s="117">
        <v>343</v>
      </c>
      <c r="M77" s="117">
        <v>12154</v>
      </c>
      <c r="N77" s="117"/>
      <c r="O77" s="117"/>
      <c r="P77" s="117"/>
      <c r="Q77" s="117"/>
      <c r="R77" s="117"/>
      <c r="S77" s="117">
        <v>13961</v>
      </c>
      <c r="T77" s="117"/>
      <c r="U77" s="117">
        <v>26760</v>
      </c>
      <c r="V77" s="117"/>
      <c r="W77" s="117">
        <v>38665</v>
      </c>
      <c r="X77" s="117"/>
      <c r="Y77" s="117"/>
      <c r="Z77" s="117"/>
      <c r="AA77" s="117">
        <f>102+377</f>
        <v>479</v>
      </c>
      <c r="AB77" s="117"/>
      <c r="AC77" s="117">
        <f>3686+5</f>
        <v>3691</v>
      </c>
      <c r="AD77" s="117"/>
      <c r="AE77" s="117"/>
      <c r="AF77" s="117"/>
      <c r="AG77" s="117"/>
      <c r="AH77" s="117"/>
      <c r="AI77" s="117">
        <v>103305</v>
      </c>
      <c r="AJ77" s="205">
        <f t="shared" si="5"/>
        <v>105927</v>
      </c>
    </row>
    <row r="78" spans="1:36" x14ac:dyDescent="0.2">
      <c r="A78" s="118"/>
      <c r="B78" s="118"/>
      <c r="C78" s="146">
        <f t="shared" si="2"/>
        <v>1999.9166643000035</v>
      </c>
      <c r="D78" s="116">
        <v>36465</v>
      </c>
      <c r="E78" s="117">
        <v>769</v>
      </c>
      <c r="F78" s="117">
        <v>773</v>
      </c>
      <c r="G78" s="117">
        <v>858</v>
      </c>
      <c r="H78" s="117">
        <v>670</v>
      </c>
      <c r="I78" s="117">
        <v>167</v>
      </c>
      <c r="J78" s="117">
        <v>2609</v>
      </c>
      <c r="K78" s="117">
        <v>1518</v>
      </c>
      <c r="L78" s="117">
        <v>340</v>
      </c>
      <c r="M78" s="117">
        <v>12330</v>
      </c>
      <c r="N78" s="117"/>
      <c r="O78" s="117"/>
      <c r="P78" s="117"/>
      <c r="Q78" s="117"/>
      <c r="R78" s="117"/>
      <c r="S78" s="117">
        <v>14240</v>
      </c>
      <c r="T78" s="117"/>
      <c r="U78" s="117">
        <v>26644</v>
      </c>
      <c r="V78" s="117"/>
      <c r="W78" s="117">
        <v>38118</v>
      </c>
      <c r="X78" s="117"/>
      <c r="Y78" s="117"/>
      <c r="Z78" s="117"/>
      <c r="AA78" s="117">
        <f>468+97</f>
        <v>565</v>
      </c>
      <c r="AB78" s="117"/>
      <c r="AC78" s="117">
        <f>3762+11</f>
        <v>3773</v>
      </c>
      <c r="AD78" s="117"/>
      <c r="AE78" s="117"/>
      <c r="AF78" s="117"/>
      <c r="AG78" s="117"/>
      <c r="AH78" s="117"/>
      <c r="AI78" s="117">
        <f>SUM(E78:AC78)</f>
        <v>103374</v>
      </c>
      <c r="AJ78" s="205">
        <f t="shared" si="5"/>
        <v>105927</v>
      </c>
    </row>
    <row r="79" spans="1:36" x14ac:dyDescent="0.2">
      <c r="A79" s="118"/>
      <c r="B79" s="118"/>
      <c r="C79" s="146">
        <f t="shared" si="2"/>
        <v>1999.9999976000036</v>
      </c>
      <c r="D79" s="116">
        <v>36495</v>
      </c>
      <c r="E79" s="117">
        <v>993</v>
      </c>
      <c r="F79" s="117">
        <v>767</v>
      </c>
      <c r="G79" s="117">
        <v>812</v>
      </c>
      <c r="H79" s="117">
        <v>649</v>
      </c>
      <c r="I79" s="117">
        <v>159</v>
      </c>
      <c r="J79" s="117">
        <v>2509</v>
      </c>
      <c r="K79" s="117">
        <v>1538</v>
      </c>
      <c r="L79" s="117">
        <v>340</v>
      </c>
      <c r="M79" s="117">
        <v>12134</v>
      </c>
      <c r="N79" s="117"/>
      <c r="O79" s="117"/>
      <c r="P79" s="117"/>
      <c r="Q79" s="117"/>
      <c r="R79" s="117"/>
      <c r="S79" s="117">
        <v>13458</v>
      </c>
      <c r="T79" s="117"/>
      <c r="U79" s="117">
        <v>24670</v>
      </c>
      <c r="V79" s="117"/>
      <c r="W79" s="117">
        <v>37755</v>
      </c>
      <c r="X79" s="117"/>
      <c r="Y79" s="117"/>
      <c r="Z79" s="117"/>
      <c r="AA79" s="117">
        <f>396+95</f>
        <v>491</v>
      </c>
      <c r="AB79" s="117"/>
      <c r="AC79" s="117">
        <f>3751+13</f>
        <v>3764</v>
      </c>
      <c r="AD79" s="117"/>
      <c r="AE79" s="117"/>
      <c r="AF79" s="117"/>
      <c r="AG79" s="117"/>
      <c r="AH79" s="117"/>
      <c r="AI79" s="117">
        <f>SUM(E79:AC79)</f>
        <v>100039</v>
      </c>
      <c r="AJ79" s="205">
        <f>+AJ78</f>
        <v>105927</v>
      </c>
    </row>
    <row r="80" spans="1:36" x14ac:dyDescent="0.2">
      <c r="A80" s="118"/>
      <c r="B80" s="118"/>
      <c r="C80" s="146">
        <f t="shared" si="2"/>
        <v>2000.0833309000036</v>
      </c>
      <c r="D80" s="121">
        <v>36526</v>
      </c>
      <c r="E80" s="117">
        <v>851</v>
      </c>
      <c r="F80" s="117">
        <v>760</v>
      </c>
      <c r="G80" s="117">
        <v>764</v>
      </c>
      <c r="H80" s="117">
        <v>626</v>
      </c>
      <c r="I80" s="117">
        <v>153</v>
      </c>
      <c r="J80" s="117">
        <v>2507</v>
      </c>
      <c r="K80" s="117">
        <v>1500</v>
      </c>
      <c r="L80" s="117">
        <v>341</v>
      </c>
      <c r="M80" s="117">
        <v>12132</v>
      </c>
      <c r="N80" s="117"/>
      <c r="O80" s="117"/>
      <c r="P80" s="117"/>
      <c r="Q80" s="117"/>
      <c r="R80" s="117"/>
      <c r="S80" s="117">
        <v>13788</v>
      </c>
      <c r="T80" s="117"/>
      <c r="U80" s="117">
        <v>23882</v>
      </c>
      <c r="V80" s="117"/>
      <c r="W80" s="117">
        <v>37301</v>
      </c>
      <c r="X80" s="117"/>
      <c r="Y80" s="117"/>
      <c r="Z80" s="117"/>
      <c r="AA80" s="117">
        <v>436</v>
      </c>
      <c r="AB80" s="117"/>
      <c r="AC80" s="117">
        <v>3803</v>
      </c>
      <c r="AD80" s="117"/>
      <c r="AE80" s="117"/>
      <c r="AF80" s="117"/>
      <c r="AG80" s="117"/>
      <c r="AH80" s="117"/>
      <c r="AI80" s="117">
        <v>98845</v>
      </c>
      <c r="AJ80" s="211">
        <v>99217</v>
      </c>
    </row>
    <row r="81" spans="1:40" x14ac:dyDescent="0.2">
      <c r="A81" s="118"/>
      <c r="B81" s="118"/>
      <c r="C81" s="146">
        <f t="shared" si="2"/>
        <v>2000.1666642000037</v>
      </c>
      <c r="D81" s="121">
        <v>36557</v>
      </c>
      <c r="E81" s="117">
        <v>805</v>
      </c>
      <c r="F81" s="117">
        <v>773</v>
      </c>
      <c r="G81" s="117">
        <v>774</v>
      </c>
      <c r="H81" s="117">
        <v>563</v>
      </c>
      <c r="I81" s="117">
        <v>157</v>
      </c>
      <c r="J81" s="117">
        <v>2448</v>
      </c>
      <c r="K81" s="117">
        <v>1563</v>
      </c>
      <c r="L81" s="117">
        <v>343</v>
      </c>
      <c r="M81" s="117">
        <v>11947</v>
      </c>
      <c r="N81" s="117"/>
      <c r="O81" s="117"/>
      <c r="P81" s="117"/>
      <c r="Q81" s="117"/>
      <c r="R81" s="117"/>
      <c r="S81" s="117">
        <v>13294</v>
      </c>
      <c r="T81" s="117"/>
      <c r="U81" s="117">
        <v>24799</v>
      </c>
      <c r="V81" s="117"/>
      <c r="W81" s="117">
        <v>36653</v>
      </c>
      <c r="X81" s="117"/>
      <c r="Y81" s="117"/>
      <c r="Z81" s="117"/>
      <c r="AA81" s="117">
        <v>554</v>
      </c>
      <c r="AB81" s="117"/>
      <c r="AC81" s="117">
        <v>3832</v>
      </c>
      <c r="AD81" s="117"/>
      <c r="AE81" s="117"/>
      <c r="AF81" s="117"/>
      <c r="AG81" s="117"/>
      <c r="AH81" s="117"/>
      <c r="AI81" s="117">
        <f>SUM(E81:AC81)+2</f>
        <v>98507</v>
      </c>
      <c r="AJ81" s="211">
        <f t="shared" ref="AJ81:AJ86" si="6">+AJ80</f>
        <v>99217</v>
      </c>
    </row>
    <row r="82" spans="1:40" x14ac:dyDescent="0.2">
      <c r="A82" s="118"/>
      <c r="B82" s="118"/>
      <c r="C82" s="146">
        <f t="shared" si="2"/>
        <v>2000.2499975000037</v>
      </c>
      <c r="D82" s="121">
        <v>36586</v>
      </c>
      <c r="E82" s="117">
        <v>765</v>
      </c>
      <c r="F82" s="117">
        <v>776</v>
      </c>
      <c r="G82" s="117">
        <v>743</v>
      </c>
      <c r="H82" s="117">
        <v>562</v>
      </c>
      <c r="I82" s="117">
        <v>159</v>
      </c>
      <c r="J82" s="117">
        <v>2313</v>
      </c>
      <c r="K82" s="117">
        <v>1557</v>
      </c>
      <c r="L82" s="117">
        <v>334</v>
      </c>
      <c r="M82" s="117">
        <v>12022</v>
      </c>
      <c r="N82" s="117"/>
      <c r="O82" s="117"/>
      <c r="P82" s="117"/>
      <c r="Q82" s="117"/>
      <c r="R82" s="117"/>
      <c r="S82" s="117">
        <v>13495</v>
      </c>
      <c r="T82" s="117"/>
      <c r="U82" s="117">
        <v>25922</v>
      </c>
      <c r="V82" s="117"/>
      <c r="W82" s="117">
        <v>36049</v>
      </c>
      <c r="X82" s="117"/>
      <c r="Y82" s="117"/>
      <c r="Z82" s="117"/>
      <c r="AA82" s="117">
        <v>469</v>
      </c>
      <c r="AB82" s="117"/>
      <c r="AC82" s="117">
        <v>3714</v>
      </c>
      <c r="AD82" s="117"/>
      <c r="AE82" s="117"/>
      <c r="AF82" s="117"/>
      <c r="AG82" s="117"/>
      <c r="AH82" s="117"/>
      <c r="AI82" s="117">
        <v>98879</v>
      </c>
      <c r="AJ82" s="211">
        <f t="shared" si="6"/>
        <v>99217</v>
      </c>
    </row>
    <row r="83" spans="1:40" x14ac:dyDescent="0.2">
      <c r="A83" s="118"/>
      <c r="B83" s="118"/>
      <c r="C83" s="146">
        <f t="shared" ref="C83:C146" si="7">+C82+0.0833333</f>
        <v>2000.3333308000038</v>
      </c>
      <c r="D83" s="121">
        <v>36617</v>
      </c>
      <c r="E83" s="117">
        <v>772</v>
      </c>
      <c r="F83" s="117">
        <v>706</v>
      </c>
      <c r="G83" s="117">
        <v>658</v>
      </c>
      <c r="H83" s="117">
        <v>522</v>
      </c>
      <c r="I83" s="117">
        <v>165</v>
      </c>
      <c r="J83" s="117">
        <v>2283</v>
      </c>
      <c r="K83" s="117">
        <v>1523</v>
      </c>
      <c r="L83" s="117">
        <v>341</v>
      </c>
      <c r="M83" s="117">
        <v>12119</v>
      </c>
      <c r="N83" s="117"/>
      <c r="O83" s="117"/>
      <c r="P83" s="117"/>
      <c r="Q83" s="117"/>
      <c r="R83" s="117"/>
      <c r="S83" s="117">
        <v>13150</v>
      </c>
      <c r="T83" s="117"/>
      <c r="U83" s="117">
        <v>26287</v>
      </c>
      <c r="V83" s="117"/>
      <c r="W83" s="117">
        <v>34867.933333333334</v>
      </c>
      <c r="X83" s="117"/>
      <c r="Y83" s="117"/>
      <c r="Z83" s="117"/>
      <c r="AA83" s="117">
        <v>504</v>
      </c>
      <c r="AB83" s="117"/>
      <c r="AC83" s="117">
        <v>3702</v>
      </c>
      <c r="AD83" s="117"/>
      <c r="AE83" s="117"/>
      <c r="AF83" s="117"/>
      <c r="AG83" s="117"/>
      <c r="AH83" s="117"/>
      <c r="AI83" s="117">
        <v>97599</v>
      </c>
      <c r="AJ83" s="211">
        <f t="shared" si="6"/>
        <v>99217</v>
      </c>
    </row>
    <row r="84" spans="1:40" x14ac:dyDescent="0.2">
      <c r="A84" s="118"/>
      <c r="B84" s="118"/>
      <c r="C84" s="146">
        <f t="shared" si="7"/>
        <v>2000.4166641000038</v>
      </c>
      <c r="D84" s="121">
        <v>36647</v>
      </c>
      <c r="E84" s="117">
        <v>646</v>
      </c>
      <c r="F84" s="117">
        <v>728</v>
      </c>
      <c r="G84" s="117">
        <v>683</v>
      </c>
      <c r="H84" s="117">
        <v>506</v>
      </c>
      <c r="I84" s="117">
        <v>163</v>
      </c>
      <c r="J84" s="117">
        <v>2353</v>
      </c>
      <c r="K84" s="117">
        <v>1519</v>
      </c>
      <c r="L84" s="117">
        <v>333</v>
      </c>
      <c r="M84" s="117">
        <v>12169</v>
      </c>
      <c r="N84" s="117"/>
      <c r="O84" s="117"/>
      <c r="P84" s="117"/>
      <c r="Q84" s="117"/>
      <c r="R84" s="117"/>
      <c r="S84" s="117">
        <v>13426</v>
      </c>
      <c r="T84" s="117"/>
      <c r="U84" s="117">
        <v>26375</v>
      </c>
      <c r="V84" s="117"/>
      <c r="W84" s="122">
        <v>37586</v>
      </c>
      <c r="X84" s="122"/>
      <c r="Y84" s="122"/>
      <c r="Z84" s="122"/>
      <c r="AA84" s="117">
        <v>476</v>
      </c>
      <c r="AB84" s="117"/>
      <c r="AC84" s="117">
        <v>3718</v>
      </c>
      <c r="AD84" s="117"/>
      <c r="AE84" s="117"/>
      <c r="AF84" s="117"/>
      <c r="AG84" s="117"/>
      <c r="AH84" s="117"/>
      <c r="AI84" s="117">
        <f>SUM(E84:AC84)</f>
        <v>100681</v>
      </c>
      <c r="AJ84" s="211">
        <f t="shared" si="6"/>
        <v>99217</v>
      </c>
    </row>
    <row r="85" spans="1:40" x14ac:dyDescent="0.2">
      <c r="A85" s="118"/>
      <c r="B85" s="118"/>
      <c r="C85" s="146">
        <f t="shared" si="7"/>
        <v>2000.4999974000038</v>
      </c>
      <c r="D85" s="121">
        <v>36678</v>
      </c>
      <c r="E85" s="117">
        <v>897</v>
      </c>
      <c r="F85" s="117">
        <v>772</v>
      </c>
      <c r="G85" s="117">
        <v>703</v>
      </c>
      <c r="H85" s="117">
        <v>543</v>
      </c>
      <c r="I85" s="117">
        <v>169</v>
      </c>
      <c r="J85" s="272">
        <v>3869</v>
      </c>
      <c r="K85" s="272"/>
      <c r="L85" s="117">
        <v>331</v>
      </c>
      <c r="M85" s="117">
        <v>12234</v>
      </c>
      <c r="N85" s="117"/>
      <c r="O85" s="117"/>
      <c r="P85" s="117"/>
      <c r="Q85" s="117"/>
      <c r="R85" s="117"/>
      <c r="S85" s="117">
        <v>13300</v>
      </c>
      <c r="T85" s="117"/>
      <c r="U85" s="117">
        <v>26135</v>
      </c>
      <c r="V85" s="117"/>
      <c r="W85" s="117">
        <v>38910</v>
      </c>
      <c r="X85" s="117"/>
      <c r="Y85" s="117"/>
      <c r="Z85" s="117"/>
      <c r="AA85" s="117">
        <v>551</v>
      </c>
      <c r="AB85" s="117"/>
      <c r="AC85" s="117">
        <v>3874</v>
      </c>
      <c r="AD85" s="117"/>
      <c r="AE85" s="117"/>
      <c r="AF85" s="117"/>
      <c r="AG85" s="117"/>
      <c r="AH85" s="117"/>
      <c r="AI85" s="117">
        <f>SUM(E85:AC85)</f>
        <v>102288</v>
      </c>
      <c r="AJ85" s="211">
        <f t="shared" si="6"/>
        <v>99217</v>
      </c>
      <c r="AM85" s="105"/>
    </row>
    <row r="86" spans="1:40" x14ac:dyDescent="0.2">
      <c r="A86" s="118"/>
      <c r="B86" s="118"/>
      <c r="C86" s="146">
        <f t="shared" si="7"/>
        <v>2000.5833307000039</v>
      </c>
      <c r="D86" s="121">
        <v>36708</v>
      </c>
      <c r="E86" s="117">
        <v>746</v>
      </c>
      <c r="F86" s="117">
        <v>768</v>
      </c>
      <c r="G86" s="117">
        <v>670</v>
      </c>
      <c r="H86" s="117">
        <v>532</v>
      </c>
      <c r="I86" s="117">
        <v>163</v>
      </c>
      <c r="J86" s="272">
        <v>4034</v>
      </c>
      <c r="K86" s="272"/>
      <c r="L86" s="117">
        <v>328</v>
      </c>
      <c r="M86" s="117">
        <v>12237</v>
      </c>
      <c r="N86" s="117"/>
      <c r="O86" s="117"/>
      <c r="P86" s="117"/>
      <c r="Q86" s="117"/>
      <c r="R86" s="117"/>
      <c r="S86" s="117">
        <v>13061</v>
      </c>
      <c r="T86" s="117"/>
      <c r="U86" s="117">
        <v>26633</v>
      </c>
      <c r="V86" s="117"/>
      <c r="W86" s="117">
        <v>37345</v>
      </c>
      <c r="X86" s="117"/>
      <c r="Y86" s="117"/>
      <c r="Z86" s="117"/>
      <c r="AA86" s="117">
        <v>532</v>
      </c>
      <c r="AB86" s="117"/>
      <c r="AC86" s="117">
        <v>4035</v>
      </c>
      <c r="AD86" s="117"/>
      <c r="AE86" s="117"/>
      <c r="AF86" s="117"/>
      <c r="AG86" s="117"/>
      <c r="AH86" s="117"/>
      <c r="AI86" s="117">
        <v>101085</v>
      </c>
      <c r="AJ86" s="211">
        <f t="shared" si="6"/>
        <v>99217</v>
      </c>
      <c r="AM86" s="105"/>
    </row>
    <row r="87" spans="1:40" x14ac:dyDescent="0.2">
      <c r="A87" s="118"/>
      <c r="B87" s="118"/>
      <c r="C87" s="146">
        <f t="shared" si="7"/>
        <v>2000.6666640000039</v>
      </c>
      <c r="D87" s="121">
        <v>36739</v>
      </c>
      <c r="E87" s="117">
        <v>705</v>
      </c>
      <c r="F87" s="117">
        <v>756</v>
      </c>
      <c r="G87" s="117">
        <v>730</v>
      </c>
      <c r="H87" s="117">
        <v>554</v>
      </c>
      <c r="I87" s="117">
        <v>162</v>
      </c>
      <c r="J87" s="272">
        <v>4285</v>
      </c>
      <c r="K87" s="272"/>
      <c r="L87" s="117">
        <v>337</v>
      </c>
      <c r="M87" s="117">
        <v>12424</v>
      </c>
      <c r="N87" s="117"/>
      <c r="O87" s="117"/>
      <c r="P87" s="117"/>
      <c r="Q87" s="117"/>
      <c r="R87" s="117"/>
      <c r="S87" s="117">
        <v>13736</v>
      </c>
      <c r="T87" s="117"/>
      <c r="U87" s="117">
        <v>26408</v>
      </c>
      <c r="V87" s="117"/>
      <c r="W87" s="117">
        <v>36270</v>
      </c>
      <c r="X87" s="117"/>
      <c r="Y87" s="117"/>
      <c r="Z87" s="117"/>
      <c r="AA87" s="117">
        <v>490</v>
      </c>
      <c r="AB87" s="117"/>
      <c r="AC87" s="117">
        <v>4121</v>
      </c>
      <c r="AD87" s="117"/>
      <c r="AE87" s="117"/>
      <c r="AF87" s="117"/>
      <c r="AG87" s="117"/>
      <c r="AH87" s="117"/>
      <c r="AI87" s="117">
        <f>SUM(E87:AC87)</f>
        <v>100978</v>
      </c>
      <c r="AJ87" s="211">
        <f>+AJ86</f>
        <v>99217</v>
      </c>
    </row>
    <row r="88" spans="1:40" x14ac:dyDescent="0.2">
      <c r="A88" s="118"/>
      <c r="B88" s="118"/>
      <c r="C88" s="146">
        <f t="shared" si="7"/>
        <v>2000.749997300004</v>
      </c>
      <c r="D88" s="121">
        <v>36770</v>
      </c>
      <c r="E88" s="117">
        <v>725</v>
      </c>
      <c r="F88" s="117">
        <v>719</v>
      </c>
      <c r="G88" s="117">
        <v>749</v>
      </c>
      <c r="H88" s="117">
        <v>573</v>
      </c>
      <c r="I88" s="117">
        <v>153</v>
      </c>
      <c r="J88" s="272">
        <v>4266</v>
      </c>
      <c r="K88" s="272"/>
      <c r="L88" s="117">
        <v>331</v>
      </c>
      <c r="M88" s="117">
        <v>11672</v>
      </c>
      <c r="N88" s="120"/>
      <c r="O88" s="120"/>
      <c r="P88" s="120"/>
      <c r="Q88" s="120"/>
      <c r="R88" s="120"/>
      <c r="S88" s="117">
        <v>13387</v>
      </c>
      <c r="T88" s="117"/>
      <c r="U88" s="117">
        <v>25472</v>
      </c>
      <c r="V88" s="117"/>
      <c r="W88" s="117">
        <v>35277</v>
      </c>
      <c r="X88" s="117"/>
      <c r="Y88" s="117"/>
      <c r="Z88" s="117"/>
      <c r="AA88" s="117">
        <v>559</v>
      </c>
      <c r="AB88" s="117"/>
      <c r="AC88" s="117">
        <v>3878</v>
      </c>
      <c r="AD88" s="117"/>
      <c r="AE88" s="117"/>
      <c r="AF88" s="117"/>
      <c r="AG88" s="117"/>
      <c r="AH88" s="117"/>
      <c r="AI88" s="117">
        <f>SUM(E88:AC88)</f>
        <v>97761</v>
      </c>
      <c r="AJ88" s="211">
        <f>+AJ87</f>
        <v>99217</v>
      </c>
      <c r="AN88" s="105"/>
    </row>
    <row r="89" spans="1:40" x14ac:dyDescent="0.2">
      <c r="A89" s="118"/>
      <c r="B89" s="118"/>
      <c r="C89" s="146">
        <f t="shared" si="7"/>
        <v>2000.833330600004</v>
      </c>
      <c r="D89" s="121">
        <v>36800</v>
      </c>
      <c r="E89" s="117">
        <v>683</v>
      </c>
      <c r="F89" s="117">
        <v>743</v>
      </c>
      <c r="G89" s="117">
        <v>721</v>
      </c>
      <c r="H89" s="117">
        <v>555</v>
      </c>
      <c r="I89" s="117">
        <v>152</v>
      </c>
      <c r="J89" s="272">
        <v>4352</v>
      </c>
      <c r="K89" s="272"/>
      <c r="L89" s="117">
        <v>321</v>
      </c>
      <c r="M89" s="117">
        <v>12453</v>
      </c>
      <c r="N89" s="117"/>
      <c r="O89" s="117"/>
      <c r="P89" s="117"/>
      <c r="Q89" s="117"/>
      <c r="R89" s="117"/>
      <c r="S89" s="117">
        <v>13198</v>
      </c>
      <c r="T89" s="117"/>
      <c r="U89" s="117">
        <v>24881</v>
      </c>
      <c r="V89" s="117"/>
      <c r="W89" s="117">
        <v>35236</v>
      </c>
      <c r="X89" s="117"/>
      <c r="Y89" s="117"/>
      <c r="Z89" s="117"/>
      <c r="AA89" s="117">
        <v>373</v>
      </c>
      <c r="AB89" s="117"/>
      <c r="AC89" s="117">
        <v>3953</v>
      </c>
      <c r="AD89" s="117"/>
      <c r="AE89" s="117"/>
      <c r="AF89" s="117"/>
      <c r="AG89" s="117"/>
      <c r="AH89" s="117"/>
      <c r="AI89" s="117">
        <f>SUM(E89:AC89)</f>
        <v>97621</v>
      </c>
      <c r="AJ89" s="211">
        <f>+AJ88</f>
        <v>99217</v>
      </c>
    </row>
    <row r="90" spans="1:40" x14ac:dyDescent="0.2">
      <c r="A90" s="118"/>
      <c r="B90" s="118"/>
      <c r="C90" s="146">
        <f t="shared" si="7"/>
        <v>2000.9166639000041</v>
      </c>
      <c r="D90" s="121">
        <v>36831</v>
      </c>
      <c r="E90" s="117">
        <v>676.73333333333335</v>
      </c>
      <c r="F90" s="117">
        <v>735.5333333333333</v>
      </c>
      <c r="G90" s="117">
        <v>695.26666666666665</v>
      </c>
      <c r="H90" s="117">
        <v>561.93333333333328</v>
      </c>
      <c r="I90" s="117">
        <v>148.5</v>
      </c>
      <c r="J90" s="276">
        <v>4271.2666666666664</v>
      </c>
      <c r="K90" s="276"/>
      <c r="L90" s="117">
        <v>293.3</v>
      </c>
      <c r="M90" s="117">
        <v>12334.533333333333</v>
      </c>
      <c r="N90" s="117"/>
      <c r="O90" s="117"/>
      <c r="P90" s="117"/>
      <c r="Q90" s="117"/>
      <c r="R90" s="117"/>
      <c r="S90" s="117">
        <v>12967.566666666668</v>
      </c>
      <c r="T90" s="117"/>
      <c r="U90" s="117">
        <v>24725.8</v>
      </c>
      <c r="V90" s="117"/>
      <c r="W90" s="117">
        <v>36207.333333333336</v>
      </c>
      <c r="X90" s="117"/>
      <c r="Y90" s="117"/>
      <c r="Z90" s="117"/>
      <c r="AA90" s="117">
        <v>569.4</v>
      </c>
      <c r="AB90" s="117"/>
      <c r="AC90" s="117">
        <v>4049.7333333333331</v>
      </c>
      <c r="AD90" s="117"/>
      <c r="AE90" s="117"/>
      <c r="AF90" s="117"/>
      <c r="AG90" s="117"/>
      <c r="AH90" s="117"/>
      <c r="AI90" s="117">
        <f>SUM(E90:AC90)</f>
        <v>98236.9</v>
      </c>
      <c r="AJ90" s="211">
        <f>+AJ89</f>
        <v>99217</v>
      </c>
    </row>
    <row r="91" spans="1:40" x14ac:dyDescent="0.2">
      <c r="A91" s="118"/>
      <c r="B91" s="118"/>
      <c r="C91" s="146">
        <f t="shared" si="7"/>
        <v>2000.9999972000041</v>
      </c>
      <c r="D91" s="121">
        <v>36861</v>
      </c>
      <c r="E91" s="117">
        <v>660.41935483870964</v>
      </c>
      <c r="F91" s="117">
        <v>748.58064516129036</v>
      </c>
      <c r="G91" s="117">
        <v>712.29032258064512</v>
      </c>
      <c r="H91" s="117">
        <v>555.67741935483866</v>
      </c>
      <c r="I91" s="117">
        <v>141.7741935483871</v>
      </c>
      <c r="J91" s="272">
        <v>4265.2258064516127</v>
      </c>
      <c r="K91" s="272"/>
      <c r="L91" s="117">
        <v>402.19354838709677</v>
      </c>
      <c r="M91" s="117">
        <v>12303.612903225807</v>
      </c>
      <c r="N91" s="117"/>
      <c r="O91" s="117"/>
      <c r="P91" s="117"/>
      <c r="Q91" s="117"/>
      <c r="R91" s="117"/>
      <c r="S91" s="117">
        <v>12980.612903225807</v>
      </c>
      <c r="T91" s="117"/>
      <c r="U91" s="117">
        <v>24387.258064516129</v>
      </c>
      <c r="V91" s="117"/>
      <c r="W91" s="117">
        <v>36417.225806451614</v>
      </c>
      <c r="X91" s="117"/>
      <c r="Y91" s="117"/>
      <c r="Z91" s="117"/>
      <c r="AA91" s="117">
        <v>537.06451612903231</v>
      </c>
      <c r="AB91" s="117"/>
      <c r="AC91" s="117">
        <v>3935.8064516129034</v>
      </c>
      <c r="AD91" s="117"/>
      <c r="AE91" s="117"/>
      <c r="AF91" s="117"/>
      <c r="AG91" s="117"/>
      <c r="AH91" s="117"/>
      <c r="AI91" s="117">
        <f>SUM(E91:AC91)</f>
        <v>98047.741935483878</v>
      </c>
      <c r="AJ91" s="211">
        <v>99217</v>
      </c>
    </row>
    <row r="92" spans="1:40" x14ac:dyDescent="0.2">
      <c r="A92" s="118"/>
      <c r="B92" s="118"/>
      <c r="C92" s="146">
        <f t="shared" si="7"/>
        <v>2001.0833305000042</v>
      </c>
      <c r="D92" s="121">
        <v>36892</v>
      </c>
      <c r="E92" s="117">
        <v>644.93548387096769</v>
      </c>
      <c r="F92" s="117">
        <v>700.09677419354841</v>
      </c>
      <c r="G92" s="117">
        <v>667.77419354838707</v>
      </c>
      <c r="H92" s="117">
        <v>523.09677419354841</v>
      </c>
      <c r="I92" s="117">
        <v>153.83870967741936</v>
      </c>
      <c r="J92" s="272">
        <v>4113.322580645161</v>
      </c>
      <c r="K92" s="272"/>
      <c r="L92" s="117">
        <v>403.93548387096774</v>
      </c>
      <c r="M92" s="117">
        <v>12097.741935483871</v>
      </c>
      <c r="N92" s="117"/>
      <c r="O92" s="117"/>
      <c r="P92" s="117"/>
      <c r="Q92" s="117"/>
      <c r="R92" s="117"/>
      <c r="S92" s="117">
        <v>12865.258064516129</v>
      </c>
      <c r="T92" s="117"/>
      <c r="U92" s="117">
        <v>24754.483870967742</v>
      </c>
      <c r="V92" s="117"/>
      <c r="W92" s="117">
        <v>35627.774193548386</v>
      </c>
      <c r="X92" s="117"/>
      <c r="Y92" s="117"/>
      <c r="Z92" s="117"/>
      <c r="AA92" s="117">
        <v>409.51612903225805</v>
      </c>
      <c r="AB92" s="117"/>
      <c r="AC92" s="117">
        <v>3748.8387096774195</v>
      </c>
      <c r="AD92" s="117"/>
      <c r="AE92" s="117"/>
      <c r="AF92" s="117"/>
      <c r="AG92" s="117"/>
      <c r="AH92" s="117"/>
      <c r="AI92" s="117">
        <v>96710.612903225803</v>
      </c>
      <c r="AJ92" s="211">
        <v>97097</v>
      </c>
    </row>
    <row r="93" spans="1:40" x14ac:dyDescent="0.2">
      <c r="A93" s="118"/>
      <c r="B93" s="118"/>
      <c r="C93" s="146">
        <f t="shared" si="7"/>
        <v>2001.1666638000042</v>
      </c>
      <c r="D93" s="121">
        <v>36923</v>
      </c>
      <c r="E93" s="117">
        <v>722.64285714285711</v>
      </c>
      <c r="F93" s="117">
        <v>701.32142857142856</v>
      </c>
      <c r="G93" s="117">
        <v>675.32142857142856</v>
      </c>
      <c r="H93" s="117">
        <v>539</v>
      </c>
      <c r="I93" s="117">
        <v>156.5</v>
      </c>
      <c r="J93" s="272">
        <v>4045.2142857142858</v>
      </c>
      <c r="K93" s="272"/>
      <c r="L93" s="117">
        <v>394.71428571428572</v>
      </c>
      <c r="M93" s="117">
        <v>11942.25</v>
      </c>
      <c r="N93" s="117"/>
      <c r="O93" s="117"/>
      <c r="P93" s="117"/>
      <c r="Q93" s="117">
        <v>35.25</v>
      </c>
      <c r="R93" s="117"/>
      <c r="S93" s="117">
        <v>12862.107142857143</v>
      </c>
      <c r="T93" s="117"/>
      <c r="U93" s="117">
        <v>23967.821428571428</v>
      </c>
      <c r="V93" s="117"/>
      <c r="W93" s="117">
        <v>34991.25</v>
      </c>
      <c r="X93" s="117"/>
      <c r="Y93" s="117"/>
      <c r="Z93" s="117"/>
      <c r="AA93" s="117">
        <v>490.03571428571428</v>
      </c>
      <c r="AB93" s="117"/>
      <c r="AC93" s="117">
        <v>3817.5714285714284</v>
      </c>
      <c r="AD93" s="117"/>
      <c r="AE93" s="117"/>
      <c r="AF93" s="117"/>
      <c r="AG93" s="117"/>
      <c r="AH93" s="117"/>
      <c r="AI93" s="117">
        <f>SUM(E93:AC93)</f>
        <v>95341</v>
      </c>
      <c r="AJ93" s="211">
        <f t="shared" ref="AJ93:AJ98" si="8">+AJ92</f>
        <v>97097</v>
      </c>
    </row>
    <row r="94" spans="1:40" x14ac:dyDescent="0.2">
      <c r="A94" s="118"/>
      <c r="B94" s="118"/>
      <c r="C94" s="146">
        <f t="shared" si="7"/>
        <v>2001.2499971000043</v>
      </c>
      <c r="D94" s="121">
        <v>36951</v>
      </c>
      <c r="E94" s="117">
        <v>644.77419354838707</v>
      </c>
      <c r="F94" s="117">
        <v>670.12903225806451</v>
      </c>
      <c r="G94" s="117">
        <v>569.87096774193549</v>
      </c>
      <c r="H94" s="117">
        <v>492</v>
      </c>
      <c r="I94" s="117">
        <v>147.45161290322579</v>
      </c>
      <c r="J94" s="272">
        <v>3904.0645161290322</v>
      </c>
      <c r="K94" s="272"/>
      <c r="L94" s="117">
        <v>369.74193548387098</v>
      </c>
      <c r="M94" s="117">
        <v>11392.677419354839</v>
      </c>
      <c r="N94" s="117">
        <v>0</v>
      </c>
      <c r="O94" s="117"/>
      <c r="P94" s="117"/>
      <c r="Q94" s="117">
        <v>15.838709677419354</v>
      </c>
      <c r="R94" s="117"/>
      <c r="S94" s="117">
        <v>12825.806451612903</v>
      </c>
      <c r="T94" s="117"/>
      <c r="U94" s="117">
        <v>24803.064516129034</v>
      </c>
      <c r="V94" s="117"/>
      <c r="W94" s="117">
        <v>35023.612903225803</v>
      </c>
      <c r="X94" s="117"/>
      <c r="Y94" s="117"/>
      <c r="Z94" s="117"/>
      <c r="AA94" s="117">
        <v>456.54838709677421</v>
      </c>
      <c r="AB94" s="117"/>
      <c r="AC94" s="117">
        <v>3874.7741935483873</v>
      </c>
      <c r="AD94" s="117"/>
      <c r="AE94" s="117"/>
      <c r="AF94" s="117"/>
      <c r="AG94" s="117"/>
      <c r="AH94" s="117"/>
      <c r="AI94" s="117">
        <f>SUM(E94:AC94)</f>
        <v>95190.354838709682</v>
      </c>
      <c r="AJ94" s="211">
        <f t="shared" si="8"/>
        <v>97097</v>
      </c>
      <c r="AM94" s="105"/>
    </row>
    <row r="95" spans="1:40" x14ac:dyDescent="0.2">
      <c r="A95" s="118"/>
      <c r="B95" s="118"/>
      <c r="C95" s="146">
        <f t="shared" si="7"/>
        <v>2001.3333304000043</v>
      </c>
      <c r="D95" s="121">
        <v>36982</v>
      </c>
      <c r="E95" s="117">
        <v>663.26666666666665</v>
      </c>
      <c r="F95" s="117">
        <v>658.7</v>
      </c>
      <c r="G95" s="117">
        <v>572.43333333333328</v>
      </c>
      <c r="H95" s="117">
        <v>500.9</v>
      </c>
      <c r="I95" s="117">
        <v>136.86666666666667</v>
      </c>
      <c r="J95" s="272">
        <v>4358.2</v>
      </c>
      <c r="K95" s="272"/>
      <c r="L95" s="117">
        <v>361.8</v>
      </c>
      <c r="M95" s="117">
        <v>11320.1</v>
      </c>
      <c r="N95" s="117">
        <v>0</v>
      </c>
      <c r="O95" s="117"/>
      <c r="P95" s="117"/>
      <c r="Q95" s="117">
        <v>27.366666666666667</v>
      </c>
      <c r="R95" s="117"/>
      <c r="S95" s="117">
        <v>13654.633333333333</v>
      </c>
      <c r="T95" s="117"/>
      <c r="U95" s="117">
        <v>25634.433333333334</v>
      </c>
      <c r="V95" s="117"/>
      <c r="W95" s="117">
        <v>35552.300000000003</v>
      </c>
      <c r="X95" s="117"/>
      <c r="Y95" s="117"/>
      <c r="Z95" s="117"/>
      <c r="AA95" s="117">
        <v>376.96666666666664</v>
      </c>
      <c r="AB95" s="117"/>
      <c r="AC95" s="117">
        <v>3946.2333333333331</v>
      </c>
      <c r="AD95" s="117"/>
      <c r="AE95" s="117"/>
      <c r="AF95" s="117"/>
      <c r="AG95" s="117"/>
      <c r="AH95" s="117"/>
      <c r="AI95" s="117">
        <f>SUM(E95:AC95)</f>
        <v>97764.2</v>
      </c>
      <c r="AJ95" s="211">
        <f t="shared" si="8"/>
        <v>97097</v>
      </c>
      <c r="AM95" s="105"/>
    </row>
    <row r="96" spans="1:40" x14ac:dyDescent="0.2">
      <c r="A96" s="118"/>
      <c r="B96" s="118"/>
      <c r="C96" s="146">
        <f t="shared" si="7"/>
        <v>2001.4166637000044</v>
      </c>
      <c r="D96" s="121">
        <v>37012</v>
      </c>
      <c r="E96" s="117">
        <v>696.9677419354839</v>
      </c>
      <c r="F96" s="117">
        <v>677.74193548387098</v>
      </c>
      <c r="G96" s="117">
        <v>610.90322580645159</v>
      </c>
      <c r="H96" s="117">
        <v>522.70967741935488</v>
      </c>
      <c r="I96" s="117">
        <v>148.51612903225808</v>
      </c>
      <c r="J96" s="272">
        <v>4537.3870967741932</v>
      </c>
      <c r="K96" s="272"/>
      <c r="L96" s="117">
        <v>356.19354838709677</v>
      </c>
      <c r="M96" s="117">
        <v>11345.741935483871</v>
      </c>
      <c r="N96" s="117"/>
      <c r="O96" s="117"/>
      <c r="P96" s="117"/>
      <c r="Q96" s="117">
        <v>66.129032258064512</v>
      </c>
      <c r="R96" s="117"/>
      <c r="S96" s="117">
        <v>14105.709677419354</v>
      </c>
      <c r="T96" s="117"/>
      <c r="U96" s="117">
        <v>24384.451612903227</v>
      </c>
      <c r="V96" s="117"/>
      <c r="W96" s="117">
        <v>42316.129032258068</v>
      </c>
      <c r="X96" s="117"/>
      <c r="Y96" s="117"/>
      <c r="Z96" s="117"/>
      <c r="AA96" s="117">
        <v>518.0322580645161</v>
      </c>
      <c r="AB96" s="117"/>
      <c r="AC96" s="117">
        <v>3978.7096774193546</v>
      </c>
      <c r="AD96" s="117"/>
      <c r="AE96" s="117"/>
      <c r="AF96" s="117"/>
      <c r="AG96" s="117"/>
      <c r="AH96" s="117"/>
      <c r="AI96" s="117">
        <f>SUM(E96:AC96)</f>
        <v>104265.32258064517</v>
      </c>
      <c r="AJ96" s="211">
        <f t="shared" si="8"/>
        <v>97097</v>
      </c>
      <c r="AM96" s="105"/>
    </row>
    <row r="97" spans="1:39" x14ac:dyDescent="0.2">
      <c r="A97" s="118"/>
      <c r="B97" s="118"/>
      <c r="C97" s="146">
        <f t="shared" si="7"/>
        <v>2001.4999970000044</v>
      </c>
      <c r="D97" s="123">
        <v>37043</v>
      </c>
      <c r="E97" s="117">
        <v>682</v>
      </c>
      <c r="F97" s="117">
        <v>677</v>
      </c>
      <c r="G97" s="117">
        <v>643</v>
      </c>
      <c r="H97" s="117">
        <v>512</v>
      </c>
      <c r="I97" s="117">
        <v>148</v>
      </c>
      <c r="J97" s="272">
        <v>4451</v>
      </c>
      <c r="K97" s="272"/>
      <c r="L97" s="117">
        <v>354</v>
      </c>
      <c r="M97" s="117">
        <v>11572</v>
      </c>
      <c r="N97" s="117"/>
      <c r="O97" s="117"/>
      <c r="P97" s="117"/>
      <c r="Q97" s="117">
        <v>53</v>
      </c>
      <c r="R97" s="117"/>
      <c r="S97" s="117">
        <v>13115</v>
      </c>
      <c r="T97" s="117"/>
      <c r="U97" s="117">
        <v>25235</v>
      </c>
      <c r="V97" s="117"/>
      <c r="W97" s="117">
        <v>28752</v>
      </c>
      <c r="X97" s="117"/>
      <c r="Y97" s="117"/>
      <c r="Z97" s="117"/>
      <c r="AA97" s="117">
        <v>505</v>
      </c>
      <c r="AB97" s="117"/>
      <c r="AC97" s="117">
        <v>3984</v>
      </c>
      <c r="AD97" s="117"/>
      <c r="AE97" s="117"/>
      <c r="AF97" s="117"/>
      <c r="AG97" s="117"/>
      <c r="AH97" s="117"/>
      <c r="AI97" s="117">
        <f>2720491/30</f>
        <v>90683.03333333334</v>
      </c>
      <c r="AJ97" s="211">
        <f t="shared" si="8"/>
        <v>97097</v>
      </c>
      <c r="AM97" s="105"/>
    </row>
    <row r="98" spans="1:39" x14ac:dyDescent="0.2">
      <c r="A98" s="118"/>
      <c r="B98" s="118"/>
      <c r="C98" s="146">
        <f t="shared" si="7"/>
        <v>2001.5833303000045</v>
      </c>
      <c r="D98" s="121">
        <v>37073</v>
      </c>
      <c r="E98" s="117">
        <v>633</v>
      </c>
      <c r="F98" s="117">
        <v>664</v>
      </c>
      <c r="G98" s="117">
        <v>649</v>
      </c>
      <c r="H98" s="117">
        <v>597</v>
      </c>
      <c r="I98" s="117">
        <v>143</v>
      </c>
      <c r="J98" s="272">
        <v>4561</v>
      </c>
      <c r="K98" s="272"/>
      <c r="L98" s="117">
        <v>347</v>
      </c>
      <c r="M98" s="117">
        <v>11573</v>
      </c>
      <c r="N98" s="117"/>
      <c r="O98" s="117"/>
      <c r="P98" s="117">
        <v>18</v>
      </c>
      <c r="Q98" s="117">
        <v>45</v>
      </c>
      <c r="R98" s="117"/>
      <c r="S98" s="117">
        <v>12873</v>
      </c>
      <c r="T98" s="117"/>
      <c r="U98" s="117">
        <v>23983</v>
      </c>
      <c r="V98" s="117"/>
      <c r="W98" s="117">
        <v>35244</v>
      </c>
      <c r="X98" s="117"/>
      <c r="Y98" s="117"/>
      <c r="Z98" s="117"/>
      <c r="AA98" s="117">
        <v>379</v>
      </c>
      <c r="AB98" s="117"/>
      <c r="AC98" s="117">
        <v>4223</v>
      </c>
      <c r="AD98" s="117"/>
      <c r="AE98" s="117"/>
      <c r="AF98" s="117"/>
      <c r="AG98" s="117"/>
      <c r="AH98" s="117"/>
      <c r="AI98" s="117">
        <f>SUM(E98:AC98)</f>
        <v>95932</v>
      </c>
      <c r="AJ98" s="211">
        <f t="shared" si="8"/>
        <v>97097</v>
      </c>
      <c r="AK98" s="104">
        <f>SUM(M92:M103)</f>
        <v>138311.51129032258</v>
      </c>
      <c r="AL98" s="106">
        <f>+AK98/12</f>
        <v>11525.959274193548</v>
      </c>
      <c r="AM98" s="105"/>
    </row>
    <row r="99" spans="1:39" x14ac:dyDescent="0.2">
      <c r="A99" s="118"/>
      <c r="B99" s="118"/>
      <c r="C99" s="146">
        <f t="shared" si="7"/>
        <v>2001.6666636000045</v>
      </c>
      <c r="D99" s="121">
        <v>37104</v>
      </c>
      <c r="E99" s="117">
        <v>676</v>
      </c>
      <c r="F99" s="117">
        <v>665</v>
      </c>
      <c r="G99" s="117">
        <v>623</v>
      </c>
      <c r="H99" s="117">
        <v>568</v>
      </c>
      <c r="I99" s="117">
        <v>147</v>
      </c>
      <c r="J99" s="272">
        <v>4385</v>
      </c>
      <c r="K99" s="272"/>
      <c r="L99" s="117">
        <v>348</v>
      </c>
      <c r="M99" s="117">
        <v>11292</v>
      </c>
      <c r="N99" s="117"/>
      <c r="O99" s="117"/>
      <c r="P99" s="117">
        <v>0</v>
      </c>
      <c r="Q99" s="117">
        <v>39</v>
      </c>
      <c r="R99" s="117"/>
      <c r="S99" s="117">
        <v>12667</v>
      </c>
      <c r="T99" s="117"/>
      <c r="U99" s="117">
        <v>25685</v>
      </c>
      <c r="V99" s="117"/>
      <c r="W99" s="117">
        <v>36143</v>
      </c>
      <c r="X99" s="117"/>
      <c r="Y99" s="117"/>
      <c r="Z99" s="117"/>
      <c r="AA99" s="117">
        <v>453</v>
      </c>
      <c r="AB99" s="117"/>
      <c r="AC99" s="117">
        <v>4173</v>
      </c>
      <c r="AD99" s="117"/>
      <c r="AE99" s="117"/>
      <c r="AF99" s="117"/>
      <c r="AG99" s="117"/>
      <c r="AH99" s="117"/>
      <c r="AI99" s="117">
        <f>SUM(E99:AC99)-1</f>
        <v>97863</v>
      </c>
      <c r="AJ99" s="211">
        <f>+AJ98</f>
        <v>97097</v>
      </c>
      <c r="AM99" s="105"/>
    </row>
    <row r="100" spans="1:39" x14ac:dyDescent="0.2">
      <c r="A100" s="118"/>
      <c r="B100" s="118"/>
      <c r="C100" s="146">
        <f t="shared" si="7"/>
        <v>2001.7499969000046</v>
      </c>
      <c r="D100" s="121">
        <v>37135</v>
      </c>
      <c r="E100" s="117">
        <v>667</v>
      </c>
      <c r="F100" s="117">
        <v>675</v>
      </c>
      <c r="G100" s="117">
        <v>643</v>
      </c>
      <c r="H100" s="117">
        <v>559</v>
      </c>
      <c r="I100" s="117">
        <v>143</v>
      </c>
      <c r="J100" s="272">
        <v>4487</v>
      </c>
      <c r="K100" s="272"/>
      <c r="L100" s="117">
        <v>330</v>
      </c>
      <c r="M100" s="117">
        <v>11180</v>
      </c>
      <c r="N100" s="117"/>
      <c r="O100" s="117"/>
      <c r="P100" s="117">
        <v>0</v>
      </c>
      <c r="Q100" s="117">
        <v>39</v>
      </c>
      <c r="R100" s="117"/>
      <c r="S100" s="117">
        <v>12790</v>
      </c>
      <c r="T100" s="117"/>
      <c r="U100" s="117">
        <v>25491</v>
      </c>
      <c r="V100" s="117"/>
      <c r="W100" s="117">
        <v>35257</v>
      </c>
      <c r="X100" s="117"/>
      <c r="Y100" s="117"/>
      <c r="Z100" s="117"/>
      <c r="AA100" s="117">
        <v>406</v>
      </c>
      <c r="AB100" s="117"/>
      <c r="AC100" s="117">
        <v>4082</v>
      </c>
      <c r="AD100" s="117"/>
      <c r="AE100" s="117"/>
      <c r="AF100" s="117"/>
      <c r="AG100" s="117"/>
      <c r="AH100" s="117"/>
      <c r="AI100" s="117">
        <f>SUM(E100:AC100)-2</f>
        <v>96747</v>
      </c>
      <c r="AJ100" s="211">
        <f>+AJ99</f>
        <v>97097</v>
      </c>
      <c r="AM100" s="105"/>
    </row>
    <row r="101" spans="1:39" x14ac:dyDescent="0.2">
      <c r="A101" s="118"/>
      <c r="B101" s="118"/>
      <c r="C101" s="146">
        <f t="shared" si="7"/>
        <v>2001.8333302000046</v>
      </c>
      <c r="D101" s="121">
        <v>37165</v>
      </c>
      <c r="E101" s="117">
        <v>652</v>
      </c>
      <c r="F101" s="117">
        <v>686</v>
      </c>
      <c r="G101" s="117">
        <v>660</v>
      </c>
      <c r="H101" s="117">
        <v>551</v>
      </c>
      <c r="I101" s="117">
        <v>142</v>
      </c>
      <c r="J101" s="272">
        <v>4265</v>
      </c>
      <c r="K101" s="272"/>
      <c r="L101" s="117">
        <v>341</v>
      </c>
      <c r="M101" s="117">
        <v>11379</v>
      </c>
      <c r="N101" s="117"/>
      <c r="O101" s="117"/>
      <c r="P101" s="117">
        <v>0</v>
      </c>
      <c r="Q101" s="117">
        <v>36</v>
      </c>
      <c r="R101" s="117"/>
      <c r="S101" s="117">
        <v>13276</v>
      </c>
      <c r="T101" s="117"/>
      <c r="U101" s="117">
        <v>27081</v>
      </c>
      <c r="V101" s="117"/>
      <c r="W101" s="117">
        <v>34329</v>
      </c>
      <c r="X101" s="117"/>
      <c r="Y101" s="117"/>
      <c r="Z101" s="117"/>
      <c r="AA101" s="117">
        <v>476</v>
      </c>
      <c r="AB101" s="117"/>
      <c r="AC101" s="117">
        <v>4031</v>
      </c>
      <c r="AD101" s="117"/>
      <c r="AE101" s="117"/>
      <c r="AF101" s="117"/>
      <c r="AG101" s="117"/>
      <c r="AH101" s="117"/>
      <c r="AI101" s="117">
        <f>SUM(E101:AC101)-1</f>
        <v>97904</v>
      </c>
      <c r="AJ101" s="211">
        <f>+AJ100</f>
        <v>97097</v>
      </c>
      <c r="AM101" s="105"/>
    </row>
    <row r="102" spans="1:39" x14ac:dyDescent="0.2">
      <c r="A102" s="118"/>
      <c r="B102" s="118"/>
      <c r="C102" s="146">
        <f t="shared" si="7"/>
        <v>2001.9166635000047</v>
      </c>
      <c r="D102" s="121">
        <v>37196</v>
      </c>
      <c r="E102" s="117">
        <v>639</v>
      </c>
      <c r="F102" s="117">
        <v>670.5333333333333</v>
      </c>
      <c r="G102" s="117">
        <v>664</v>
      </c>
      <c r="H102" s="117">
        <v>565</v>
      </c>
      <c r="I102" s="117">
        <v>149</v>
      </c>
      <c r="J102" s="272">
        <v>4133</v>
      </c>
      <c r="K102" s="272"/>
      <c r="L102" s="117">
        <v>321</v>
      </c>
      <c r="M102" s="117">
        <v>11518</v>
      </c>
      <c r="N102" s="117"/>
      <c r="O102" s="117"/>
      <c r="P102" s="117">
        <v>0</v>
      </c>
      <c r="Q102" s="117">
        <v>35</v>
      </c>
      <c r="R102" s="117"/>
      <c r="S102" s="117">
        <v>13217</v>
      </c>
      <c r="T102" s="117"/>
      <c r="U102" s="117">
        <v>24229</v>
      </c>
      <c r="V102" s="117"/>
      <c r="W102" s="117">
        <v>34711</v>
      </c>
      <c r="X102" s="117"/>
      <c r="Y102" s="117"/>
      <c r="Z102" s="117"/>
      <c r="AA102" s="117">
        <v>332</v>
      </c>
      <c r="AB102" s="117"/>
      <c r="AC102" s="117">
        <v>3856</v>
      </c>
      <c r="AD102" s="117"/>
      <c r="AE102" s="117"/>
      <c r="AF102" s="117"/>
      <c r="AG102" s="117"/>
      <c r="AH102" s="117"/>
      <c r="AI102" s="117">
        <f t="shared" ref="AI102:AI108" si="9">SUM(E102:AC102)</f>
        <v>95039.533333333326</v>
      </c>
      <c r="AJ102" s="211">
        <f>+AJ101</f>
        <v>97097</v>
      </c>
      <c r="AM102" s="105"/>
    </row>
    <row r="103" spans="1:39" x14ac:dyDescent="0.2">
      <c r="A103" s="118"/>
      <c r="B103" s="118"/>
      <c r="C103" s="146">
        <f t="shared" si="7"/>
        <v>2001.9999968000047</v>
      </c>
      <c r="D103" s="121">
        <v>37226</v>
      </c>
      <c r="E103" s="117">
        <v>595</v>
      </c>
      <c r="F103" s="117">
        <v>659</v>
      </c>
      <c r="G103" s="117">
        <v>655</v>
      </c>
      <c r="H103" s="117">
        <v>537</v>
      </c>
      <c r="I103" s="117">
        <v>138</v>
      </c>
      <c r="J103" s="272">
        <v>3945</v>
      </c>
      <c r="K103" s="272"/>
      <c r="L103" s="117">
        <v>312</v>
      </c>
      <c r="M103" s="117">
        <v>11699</v>
      </c>
      <c r="N103" s="117"/>
      <c r="O103" s="117"/>
      <c r="P103" s="117">
        <v>0</v>
      </c>
      <c r="Q103" s="117">
        <v>19</v>
      </c>
      <c r="R103" s="117"/>
      <c r="S103" s="117">
        <v>12802</v>
      </c>
      <c r="T103" s="117"/>
      <c r="U103" s="117">
        <v>29042</v>
      </c>
      <c r="V103" s="117"/>
      <c r="W103" s="117">
        <v>36507</v>
      </c>
      <c r="X103" s="117"/>
      <c r="Y103" s="117"/>
      <c r="Z103" s="117"/>
      <c r="AA103" s="117">
        <v>533</v>
      </c>
      <c r="AB103" s="117"/>
      <c r="AC103" s="117">
        <v>3848</v>
      </c>
      <c r="AD103" s="117"/>
      <c r="AE103" s="117"/>
      <c r="AF103" s="117"/>
      <c r="AG103" s="117"/>
      <c r="AH103" s="117"/>
      <c r="AI103" s="117">
        <f t="shared" si="9"/>
        <v>101291</v>
      </c>
      <c r="AJ103" s="211">
        <f>+AJ102</f>
        <v>97097</v>
      </c>
      <c r="AM103" s="105"/>
    </row>
    <row r="104" spans="1:39" x14ac:dyDescent="0.2">
      <c r="A104" s="118"/>
      <c r="B104" s="118"/>
      <c r="C104" s="146">
        <f t="shared" si="7"/>
        <v>2002.0833301000048</v>
      </c>
      <c r="D104" s="121">
        <v>37257</v>
      </c>
      <c r="E104" s="117">
        <v>615</v>
      </c>
      <c r="F104" s="117">
        <v>646</v>
      </c>
      <c r="G104" s="117">
        <v>665</v>
      </c>
      <c r="H104" s="117">
        <v>551</v>
      </c>
      <c r="I104" s="117">
        <v>142</v>
      </c>
      <c r="J104" s="272">
        <v>3743</v>
      </c>
      <c r="K104" s="272"/>
      <c r="L104" s="117">
        <v>320</v>
      </c>
      <c r="M104" s="117">
        <v>11543</v>
      </c>
      <c r="N104" s="117"/>
      <c r="O104" s="117"/>
      <c r="P104" s="117">
        <v>0</v>
      </c>
      <c r="Q104" s="117">
        <v>25</v>
      </c>
      <c r="R104" s="117"/>
      <c r="S104" s="117">
        <v>12694</v>
      </c>
      <c r="T104" s="117"/>
      <c r="U104" s="117">
        <v>27927</v>
      </c>
      <c r="V104" s="117"/>
      <c r="W104" s="117">
        <v>37134</v>
      </c>
      <c r="X104" s="117"/>
      <c r="Y104" s="117"/>
      <c r="Z104" s="117"/>
      <c r="AA104" s="117">
        <v>334</v>
      </c>
      <c r="AB104" s="117"/>
      <c r="AC104" s="117">
        <v>4042</v>
      </c>
      <c r="AD104" s="117"/>
      <c r="AE104" s="117"/>
      <c r="AF104" s="117"/>
      <c r="AG104" s="117"/>
      <c r="AH104" s="117"/>
      <c r="AI104" s="117">
        <f t="shared" si="9"/>
        <v>100381</v>
      </c>
      <c r="AJ104" s="211">
        <v>96865</v>
      </c>
      <c r="AM104" s="105"/>
    </row>
    <row r="105" spans="1:39" x14ac:dyDescent="0.2">
      <c r="A105" s="118"/>
      <c r="B105" s="118"/>
      <c r="C105" s="146">
        <f t="shared" si="7"/>
        <v>2002.1666634000048</v>
      </c>
      <c r="D105" s="121">
        <v>37288</v>
      </c>
      <c r="E105" s="117">
        <v>626</v>
      </c>
      <c r="F105" s="117">
        <v>654</v>
      </c>
      <c r="G105" s="117">
        <v>650</v>
      </c>
      <c r="H105" s="117">
        <v>558</v>
      </c>
      <c r="I105" s="117">
        <v>145</v>
      </c>
      <c r="J105" s="272">
        <v>3792</v>
      </c>
      <c r="K105" s="272"/>
      <c r="L105" s="117">
        <v>322</v>
      </c>
      <c r="M105" s="117">
        <v>11118</v>
      </c>
      <c r="N105" s="117"/>
      <c r="O105" s="117"/>
      <c r="P105" s="117">
        <v>0</v>
      </c>
      <c r="Q105" s="117">
        <v>38</v>
      </c>
      <c r="R105" s="117"/>
      <c r="S105" s="117">
        <v>12551</v>
      </c>
      <c r="T105" s="117"/>
      <c r="U105" s="117">
        <v>26960</v>
      </c>
      <c r="V105" s="117"/>
      <c r="W105" s="117">
        <v>38202</v>
      </c>
      <c r="X105" s="117"/>
      <c r="Y105" s="117"/>
      <c r="Z105" s="117"/>
      <c r="AA105" s="117">
        <v>391</v>
      </c>
      <c r="AB105" s="117"/>
      <c r="AC105" s="117">
        <v>4093</v>
      </c>
      <c r="AD105" s="117"/>
      <c r="AE105" s="117"/>
      <c r="AF105" s="117"/>
      <c r="AG105" s="117"/>
      <c r="AH105" s="117"/>
      <c r="AI105" s="117">
        <f t="shared" si="9"/>
        <v>100100</v>
      </c>
      <c r="AJ105" s="211">
        <f>+AJ104</f>
        <v>96865</v>
      </c>
      <c r="AM105" s="105"/>
    </row>
    <row r="106" spans="1:39" x14ac:dyDescent="0.2">
      <c r="A106" s="118"/>
      <c r="B106" s="118"/>
      <c r="C106" s="146">
        <f t="shared" si="7"/>
        <v>2002.2499967000049</v>
      </c>
      <c r="D106" s="121">
        <v>37316</v>
      </c>
      <c r="E106" s="117">
        <v>648</v>
      </c>
      <c r="F106" s="117">
        <v>622</v>
      </c>
      <c r="G106" s="117">
        <v>603</v>
      </c>
      <c r="H106" s="117">
        <v>542</v>
      </c>
      <c r="I106" s="117">
        <v>153</v>
      </c>
      <c r="J106" s="272">
        <v>3462</v>
      </c>
      <c r="K106" s="272"/>
      <c r="L106" s="117">
        <v>321</v>
      </c>
      <c r="M106" s="117">
        <v>10727</v>
      </c>
      <c r="N106" s="117"/>
      <c r="O106" s="117"/>
      <c r="P106" s="117">
        <v>0</v>
      </c>
      <c r="Q106" s="117">
        <v>31</v>
      </c>
      <c r="R106" s="117"/>
      <c r="S106" s="117">
        <v>12811</v>
      </c>
      <c r="T106" s="117"/>
      <c r="U106" s="117">
        <v>26318</v>
      </c>
      <c r="V106" s="117"/>
      <c r="W106" s="117">
        <v>37700</v>
      </c>
      <c r="X106" s="117"/>
      <c r="Y106" s="117"/>
      <c r="Z106" s="117"/>
      <c r="AA106" s="117">
        <v>495</v>
      </c>
      <c r="AB106" s="117"/>
      <c r="AC106" s="117">
        <v>4145</v>
      </c>
      <c r="AD106" s="117"/>
      <c r="AE106" s="117"/>
      <c r="AF106" s="117"/>
      <c r="AG106" s="117"/>
      <c r="AH106" s="117"/>
      <c r="AI106" s="117">
        <f t="shared" si="9"/>
        <v>98578</v>
      </c>
      <c r="AJ106" s="211">
        <f t="shared" ref="AJ106:AJ114" si="10">+AJ105</f>
        <v>96865</v>
      </c>
      <c r="AM106" s="105"/>
    </row>
    <row r="107" spans="1:39" x14ac:dyDescent="0.2">
      <c r="A107" s="118"/>
      <c r="B107" s="118"/>
      <c r="C107" s="146">
        <f t="shared" si="7"/>
        <v>2002.3333300000049</v>
      </c>
      <c r="D107" s="121">
        <v>37347</v>
      </c>
      <c r="E107" s="117">
        <v>652</v>
      </c>
      <c r="F107" s="117">
        <v>587</v>
      </c>
      <c r="G107" s="117">
        <v>568</v>
      </c>
      <c r="H107" s="117">
        <v>510</v>
      </c>
      <c r="I107" s="117">
        <v>152</v>
      </c>
      <c r="J107" s="272">
        <v>3441</v>
      </c>
      <c r="K107" s="272"/>
      <c r="L107" s="117">
        <v>316</v>
      </c>
      <c r="M107" s="117">
        <v>10616</v>
      </c>
      <c r="N107" s="117"/>
      <c r="O107" s="117"/>
      <c r="P107" s="117">
        <v>0</v>
      </c>
      <c r="Q107" s="117">
        <v>32</v>
      </c>
      <c r="R107" s="117"/>
      <c r="S107" s="117">
        <v>12582</v>
      </c>
      <c r="T107" s="117"/>
      <c r="U107" s="117">
        <v>25747</v>
      </c>
      <c r="V107" s="117"/>
      <c r="W107" s="117">
        <v>37341</v>
      </c>
      <c r="X107" s="117"/>
      <c r="Y107" s="117"/>
      <c r="Z107" s="117"/>
      <c r="AA107" s="117">
        <v>506</v>
      </c>
      <c r="AB107" s="117"/>
      <c r="AC107" s="117">
        <v>2674</v>
      </c>
      <c r="AD107" s="117"/>
      <c r="AE107" s="117"/>
      <c r="AF107" s="117"/>
      <c r="AG107" s="117"/>
      <c r="AH107" s="117"/>
      <c r="AI107" s="117">
        <f t="shared" si="9"/>
        <v>95724</v>
      </c>
      <c r="AJ107" s="211">
        <f t="shared" si="10"/>
        <v>96865</v>
      </c>
      <c r="AM107" s="105"/>
    </row>
    <row r="108" spans="1:39" x14ac:dyDescent="0.2">
      <c r="A108" s="118"/>
      <c r="B108" s="118"/>
      <c r="C108" s="146">
        <f t="shared" si="7"/>
        <v>2002.416663300005</v>
      </c>
      <c r="D108" s="121">
        <v>37377</v>
      </c>
      <c r="E108" s="117">
        <v>615</v>
      </c>
      <c r="F108" s="117">
        <v>632</v>
      </c>
      <c r="G108" s="117">
        <v>587</v>
      </c>
      <c r="H108" s="117">
        <v>551</v>
      </c>
      <c r="I108" s="117">
        <v>151</v>
      </c>
      <c r="J108" s="272">
        <v>3531</v>
      </c>
      <c r="K108" s="272"/>
      <c r="L108" s="117">
        <v>308</v>
      </c>
      <c r="M108" s="117">
        <v>11045</v>
      </c>
      <c r="N108" s="117"/>
      <c r="O108" s="117"/>
      <c r="P108" s="117">
        <v>0</v>
      </c>
      <c r="Q108" s="117">
        <v>29</v>
      </c>
      <c r="R108" s="117"/>
      <c r="S108" s="117">
        <v>12377</v>
      </c>
      <c r="T108" s="117"/>
      <c r="U108" s="117">
        <v>25216</v>
      </c>
      <c r="V108" s="117"/>
      <c r="W108" s="117">
        <v>36584</v>
      </c>
      <c r="X108" s="117"/>
      <c r="Y108" s="117"/>
      <c r="Z108" s="117"/>
      <c r="AA108" s="117">
        <v>329</v>
      </c>
      <c r="AB108" s="117"/>
      <c r="AC108" s="117">
        <v>4303</v>
      </c>
      <c r="AD108" s="117"/>
      <c r="AE108" s="117"/>
      <c r="AF108" s="117"/>
      <c r="AG108" s="117"/>
      <c r="AH108" s="117"/>
      <c r="AI108" s="117">
        <f t="shared" si="9"/>
        <v>96258</v>
      </c>
      <c r="AJ108" s="211">
        <f t="shared" si="10"/>
        <v>96865</v>
      </c>
      <c r="AM108" s="105"/>
    </row>
    <row r="109" spans="1:39" x14ac:dyDescent="0.2">
      <c r="A109" s="118"/>
      <c r="B109" s="118"/>
      <c r="C109" s="146">
        <f t="shared" si="7"/>
        <v>2002.499996600005</v>
      </c>
      <c r="D109" s="121">
        <v>37408</v>
      </c>
      <c r="E109" s="117">
        <v>605</v>
      </c>
      <c r="F109" s="117">
        <v>659</v>
      </c>
      <c r="G109" s="117">
        <v>644</v>
      </c>
      <c r="H109" s="117">
        <v>573</v>
      </c>
      <c r="I109" s="117">
        <v>150</v>
      </c>
      <c r="J109" s="272">
        <v>3546</v>
      </c>
      <c r="K109" s="272"/>
      <c r="L109" s="117">
        <v>314</v>
      </c>
      <c r="M109" s="117">
        <v>11220</v>
      </c>
      <c r="N109" s="117"/>
      <c r="O109" s="117"/>
      <c r="P109" s="117">
        <v>0</v>
      </c>
      <c r="Q109" s="117">
        <v>31</v>
      </c>
      <c r="R109" s="117"/>
      <c r="S109" s="117">
        <v>12308</v>
      </c>
      <c r="T109" s="117"/>
      <c r="U109" s="117">
        <v>24469</v>
      </c>
      <c r="V109" s="117"/>
      <c r="W109" s="117">
        <v>35893</v>
      </c>
      <c r="X109" s="117"/>
      <c r="Y109" s="117"/>
      <c r="Z109" s="117"/>
      <c r="AA109" s="117">
        <v>521</v>
      </c>
      <c r="AB109" s="117"/>
      <c r="AC109" s="117">
        <v>4424</v>
      </c>
      <c r="AD109" s="117"/>
      <c r="AE109" s="117"/>
      <c r="AF109" s="117"/>
      <c r="AG109" s="117"/>
      <c r="AH109" s="117"/>
      <c r="AI109" s="117">
        <f t="shared" ref="AI109:AI114" si="11">SUM(E109:AC109)</f>
        <v>95357</v>
      </c>
      <c r="AJ109" s="211">
        <f t="shared" si="10"/>
        <v>96865</v>
      </c>
      <c r="AM109" s="105"/>
    </row>
    <row r="110" spans="1:39" x14ac:dyDescent="0.2">
      <c r="A110" s="118"/>
      <c r="B110" s="118"/>
      <c r="C110" s="146">
        <f t="shared" si="7"/>
        <v>2002.5833299000051</v>
      </c>
      <c r="D110" s="121">
        <v>37438</v>
      </c>
      <c r="E110" s="117">
        <v>602</v>
      </c>
      <c r="F110" s="117">
        <v>644</v>
      </c>
      <c r="G110" s="117">
        <v>654</v>
      </c>
      <c r="H110" s="117">
        <v>558</v>
      </c>
      <c r="I110" s="117">
        <v>165</v>
      </c>
      <c r="J110" s="272">
        <v>3405</v>
      </c>
      <c r="K110" s="272"/>
      <c r="L110" s="117">
        <v>314</v>
      </c>
      <c r="M110" s="117">
        <v>11291</v>
      </c>
      <c r="N110" s="117"/>
      <c r="O110" s="117"/>
      <c r="P110" s="117">
        <v>0</v>
      </c>
      <c r="Q110" s="117">
        <v>27</v>
      </c>
      <c r="R110" s="117"/>
      <c r="S110" s="117">
        <v>12287</v>
      </c>
      <c r="T110" s="117"/>
      <c r="U110" s="117">
        <v>23895</v>
      </c>
      <c r="V110" s="117"/>
      <c r="W110" s="117">
        <v>36135</v>
      </c>
      <c r="X110" s="117"/>
      <c r="Y110" s="117"/>
      <c r="Z110" s="117"/>
      <c r="AA110" s="117">
        <v>334</v>
      </c>
      <c r="AB110" s="117"/>
      <c r="AC110" s="117">
        <v>4286</v>
      </c>
      <c r="AD110" s="117"/>
      <c r="AE110" s="117"/>
      <c r="AF110" s="117"/>
      <c r="AG110" s="117"/>
      <c r="AH110" s="117"/>
      <c r="AI110" s="117">
        <f t="shared" si="11"/>
        <v>94597</v>
      </c>
      <c r="AJ110" s="211">
        <f t="shared" si="10"/>
        <v>96865</v>
      </c>
      <c r="AM110" s="105"/>
    </row>
    <row r="111" spans="1:39" x14ac:dyDescent="0.2">
      <c r="A111" s="118"/>
      <c r="B111" s="118"/>
      <c r="C111" s="146">
        <f t="shared" si="7"/>
        <v>2002.6666632000051</v>
      </c>
      <c r="D111" s="121">
        <v>37469</v>
      </c>
      <c r="E111" s="117">
        <v>603</v>
      </c>
      <c r="F111" s="117">
        <v>630</v>
      </c>
      <c r="G111" s="117">
        <v>667</v>
      </c>
      <c r="H111" s="117">
        <v>567</v>
      </c>
      <c r="I111" s="117">
        <v>162</v>
      </c>
      <c r="J111" s="272">
        <v>3341</v>
      </c>
      <c r="K111" s="272"/>
      <c r="L111" s="117">
        <v>322</v>
      </c>
      <c r="M111" s="117">
        <v>11433</v>
      </c>
      <c r="N111" s="117"/>
      <c r="O111" s="117"/>
      <c r="P111" s="117">
        <v>0</v>
      </c>
      <c r="Q111" s="117">
        <v>27</v>
      </c>
      <c r="R111" s="117"/>
      <c r="S111" s="117">
        <v>12143</v>
      </c>
      <c r="T111" s="117"/>
      <c r="U111" s="117">
        <v>23759</v>
      </c>
      <c r="V111" s="117"/>
      <c r="W111" s="117">
        <v>37659</v>
      </c>
      <c r="X111" s="117"/>
      <c r="Y111" s="117"/>
      <c r="Z111" s="117"/>
      <c r="AA111" s="117">
        <v>477</v>
      </c>
      <c r="AB111" s="117"/>
      <c r="AC111" s="117">
        <v>4400</v>
      </c>
      <c r="AD111" s="117"/>
      <c r="AE111" s="117"/>
      <c r="AF111" s="117"/>
      <c r="AG111" s="117"/>
      <c r="AH111" s="117"/>
      <c r="AI111" s="117">
        <f t="shared" si="11"/>
        <v>96190</v>
      </c>
      <c r="AJ111" s="211">
        <f t="shared" si="10"/>
        <v>96865</v>
      </c>
      <c r="AM111" s="105"/>
    </row>
    <row r="112" spans="1:39" x14ac:dyDescent="0.2">
      <c r="A112" s="118"/>
      <c r="B112" s="118"/>
      <c r="C112" s="146">
        <f t="shared" si="7"/>
        <v>2002.7499965000052</v>
      </c>
      <c r="D112" s="121">
        <v>37500</v>
      </c>
      <c r="E112" s="117">
        <v>617</v>
      </c>
      <c r="F112" s="117">
        <v>635</v>
      </c>
      <c r="G112" s="117">
        <v>659</v>
      </c>
      <c r="H112" s="117">
        <v>561</v>
      </c>
      <c r="I112" s="117">
        <v>155</v>
      </c>
      <c r="J112" s="272">
        <v>3357</v>
      </c>
      <c r="K112" s="272"/>
      <c r="L112" s="117">
        <v>304</v>
      </c>
      <c r="M112" s="117">
        <v>11468</v>
      </c>
      <c r="N112" s="117"/>
      <c r="O112" s="117"/>
      <c r="P112" s="117">
        <v>0</v>
      </c>
      <c r="Q112" s="117">
        <v>26</v>
      </c>
      <c r="R112" s="117"/>
      <c r="S112" s="117">
        <v>12463</v>
      </c>
      <c r="T112" s="117"/>
      <c r="U112" s="117">
        <v>24013</v>
      </c>
      <c r="V112" s="117"/>
      <c r="W112" s="117">
        <v>37154</v>
      </c>
      <c r="X112" s="117"/>
      <c r="Y112" s="117"/>
      <c r="Z112" s="117"/>
      <c r="AA112" s="117">
        <v>312</v>
      </c>
      <c r="AB112" s="117"/>
      <c r="AC112" s="117">
        <v>4379</v>
      </c>
      <c r="AD112" s="117"/>
      <c r="AE112" s="117"/>
      <c r="AF112" s="117"/>
      <c r="AG112" s="117"/>
      <c r="AH112" s="117"/>
      <c r="AI112" s="117">
        <f t="shared" si="11"/>
        <v>96103</v>
      </c>
      <c r="AJ112" s="211">
        <f t="shared" si="10"/>
        <v>96865</v>
      </c>
      <c r="AM112" s="105"/>
    </row>
    <row r="113" spans="1:39" x14ac:dyDescent="0.2">
      <c r="A113" s="118"/>
      <c r="B113" s="118"/>
      <c r="C113" s="146">
        <f t="shared" si="7"/>
        <v>2002.8333298000052</v>
      </c>
      <c r="D113" s="121">
        <v>37530</v>
      </c>
      <c r="E113" s="117">
        <v>658</v>
      </c>
      <c r="F113" s="117">
        <v>634</v>
      </c>
      <c r="G113" s="117">
        <v>627</v>
      </c>
      <c r="H113" s="117">
        <v>555</v>
      </c>
      <c r="I113" s="117">
        <v>155</v>
      </c>
      <c r="J113" s="272">
        <v>3346</v>
      </c>
      <c r="K113" s="272"/>
      <c r="L113" s="117">
        <v>308</v>
      </c>
      <c r="M113" s="117">
        <v>11423</v>
      </c>
      <c r="N113" s="117"/>
      <c r="O113" s="117"/>
      <c r="P113" s="117">
        <v>0</v>
      </c>
      <c r="Q113" s="117">
        <v>26</v>
      </c>
      <c r="R113" s="117"/>
      <c r="S113" s="117">
        <v>12025</v>
      </c>
      <c r="T113" s="117"/>
      <c r="U113" s="117">
        <v>23814</v>
      </c>
      <c r="V113" s="117"/>
      <c r="W113" s="117">
        <v>37941</v>
      </c>
      <c r="X113" s="117"/>
      <c r="Y113" s="117"/>
      <c r="Z113" s="117"/>
      <c r="AA113" s="117">
        <v>466</v>
      </c>
      <c r="AB113" s="117"/>
      <c r="AC113" s="117">
        <v>4309</v>
      </c>
      <c r="AD113" s="117"/>
      <c r="AE113" s="117"/>
      <c r="AF113" s="117"/>
      <c r="AG113" s="117"/>
      <c r="AH113" s="117"/>
      <c r="AI113" s="117">
        <f t="shared" si="11"/>
        <v>96287</v>
      </c>
      <c r="AJ113" s="211">
        <f t="shared" si="10"/>
        <v>96865</v>
      </c>
      <c r="AM113" s="105"/>
    </row>
    <row r="114" spans="1:39" x14ac:dyDescent="0.2">
      <c r="A114" s="118"/>
      <c r="B114" s="118"/>
      <c r="C114" s="146">
        <f t="shared" si="7"/>
        <v>2002.9166631000053</v>
      </c>
      <c r="D114" s="121">
        <v>37561</v>
      </c>
      <c r="E114" s="117">
        <v>645</v>
      </c>
      <c r="F114" s="117">
        <v>618</v>
      </c>
      <c r="G114" s="117">
        <v>618</v>
      </c>
      <c r="H114" s="117">
        <v>551</v>
      </c>
      <c r="I114" s="117">
        <v>182</v>
      </c>
      <c r="J114" s="272">
        <v>3341</v>
      </c>
      <c r="K114" s="272"/>
      <c r="L114" s="117">
        <v>311</v>
      </c>
      <c r="M114" s="117">
        <v>11555</v>
      </c>
      <c r="N114" s="117"/>
      <c r="O114" s="117"/>
      <c r="P114" s="117">
        <v>0</v>
      </c>
      <c r="Q114" s="117">
        <v>24</v>
      </c>
      <c r="R114" s="117"/>
      <c r="S114" s="117">
        <v>12527</v>
      </c>
      <c r="T114" s="117"/>
      <c r="U114" s="117">
        <v>23700</v>
      </c>
      <c r="V114" s="117"/>
      <c r="W114" s="117">
        <v>38739</v>
      </c>
      <c r="X114" s="117"/>
      <c r="Y114" s="117"/>
      <c r="Z114" s="117"/>
      <c r="AA114" s="117">
        <v>367</v>
      </c>
      <c r="AB114" s="117"/>
      <c r="AC114" s="117">
        <v>3993</v>
      </c>
      <c r="AD114" s="117"/>
      <c r="AE114" s="117"/>
      <c r="AF114" s="117"/>
      <c r="AG114" s="117"/>
      <c r="AH114" s="117"/>
      <c r="AI114" s="117">
        <f t="shared" si="11"/>
        <v>97171</v>
      </c>
      <c r="AJ114" s="211">
        <f t="shared" si="10"/>
        <v>96865</v>
      </c>
      <c r="AM114" s="105"/>
    </row>
    <row r="115" spans="1:39" x14ac:dyDescent="0.2">
      <c r="A115" s="118"/>
      <c r="B115" s="118"/>
      <c r="C115" s="146">
        <f t="shared" si="7"/>
        <v>2002.9999964000053</v>
      </c>
      <c r="D115" s="121">
        <v>37591</v>
      </c>
      <c r="E115" s="117">
        <v>655</v>
      </c>
      <c r="F115" s="117">
        <v>606</v>
      </c>
      <c r="G115" s="117">
        <v>608</v>
      </c>
      <c r="H115" s="117">
        <v>550</v>
      </c>
      <c r="I115" s="117">
        <v>169</v>
      </c>
      <c r="J115" s="272">
        <v>3291</v>
      </c>
      <c r="K115" s="272"/>
      <c r="L115" s="117">
        <v>339</v>
      </c>
      <c r="M115" s="117">
        <v>11493</v>
      </c>
      <c r="N115" s="117"/>
      <c r="O115" s="117"/>
      <c r="P115" s="117">
        <v>0</v>
      </c>
      <c r="Q115" s="117">
        <v>23</v>
      </c>
      <c r="R115" s="117"/>
      <c r="S115" s="117">
        <v>12064</v>
      </c>
      <c r="T115" s="117"/>
      <c r="U115" s="117">
        <v>22703</v>
      </c>
      <c r="V115" s="117"/>
      <c r="W115" s="117">
        <v>38859</v>
      </c>
      <c r="X115" s="117"/>
      <c r="Y115" s="117"/>
      <c r="Z115" s="117"/>
      <c r="AA115" s="117">
        <v>471</v>
      </c>
      <c r="AB115" s="117"/>
      <c r="AC115" s="117">
        <v>4022</v>
      </c>
      <c r="AD115" s="117"/>
      <c r="AE115" s="117"/>
      <c r="AF115" s="117"/>
      <c r="AG115" s="117"/>
      <c r="AH115" s="117"/>
      <c r="AI115" s="117">
        <f>SUM(E115:AC115)+1</f>
        <v>95854</v>
      </c>
      <c r="AJ115" s="211">
        <f>+AJ114</f>
        <v>96865</v>
      </c>
      <c r="AM115" s="105"/>
    </row>
    <row r="116" spans="1:39" x14ac:dyDescent="0.2">
      <c r="A116" s="118"/>
      <c r="B116" s="118"/>
      <c r="C116" s="146">
        <f t="shared" si="7"/>
        <v>2003.0833297000054</v>
      </c>
      <c r="D116" s="121">
        <v>37622</v>
      </c>
      <c r="E116" s="117">
        <v>634</v>
      </c>
      <c r="F116" s="117">
        <v>586</v>
      </c>
      <c r="G116" s="117">
        <v>628</v>
      </c>
      <c r="H116" s="117">
        <v>514</v>
      </c>
      <c r="I116" s="117">
        <v>168</v>
      </c>
      <c r="J116" s="272">
        <v>3103</v>
      </c>
      <c r="K116" s="272"/>
      <c r="L116" s="117">
        <v>319</v>
      </c>
      <c r="M116" s="117">
        <v>11329</v>
      </c>
      <c r="N116" s="117"/>
      <c r="O116" s="117"/>
      <c r="P116" s="117">
        <v>0</v>
      </c>
      <c r="Q116" s="117">
        <v>22</v>
      </c>
      <c r="R116" s="117"/>
      <c r="S116" s="117">
        <v>11969</v>
      </c>
      <c r="T116" s="117"/>
      <c r="U116" s="117">
        <v>22157</v>
      </c>
      <c r="V116" s="117"/>
      <c r="W116" s="117">
        <v>37459</v>
      </c>
      <c r="X116" s="117"/>
      <c r="Y116" s="117"/>
      <c r="Z116" s="117"/>
      <c r="AA116" s="117">
        <v>295</v>
      </c>
      <c r="AB116" s="117"/>
      <c r="AC116" s="117">
        <v>3934</v>
      </c>
      <c r="AD116" s="117"/>
      <c r="AE116" s="117"/>
      <c r="AF116" s="117"/>
      <c r="AG116" s="117"/>
      <c r="AH116" s="117"/>
      <c r="AI116" s="117">
        <f>SUM(E116:AC116)</f>
        <v>93117</v>
      </c>
      <c r="AJ116" s="212">
        <v>91350</v>
      </c>
      <c r="AM116" s="105"/>
    </row>
    <row r="117" spans="1:39" x14ac:dyDescent="0.2">
      <c r="A117" s="118"/>
      <c r="B117" s="118"/>
      <c r="C117" s="146">
        <f t="shared" si="7"/>
        <v>2003.1666630000054</v>
      </c>
      <c r="D117" s="121">
        <v>37653</v>
      </c>
      <c r="E117" s="117">
        <v>654</v>
      </c>
      <c r="F117" s="117">
        <v>584</v>
      </c>
      <c r="G117" s="117">
        <v>742</v>
      </c>
      <c r="H117" s="117">
        <v>564</v>
      </c>
      <c r="I117" s="117">
        <v>167</v>
      </c>
      <c r="J117" s="272">
        <v>3002</v>
      </c>
      <c r="K117" s="272"/>
      <c r="L117" s="117">
        <v>320</v>
      </c>
      <c r="M117" s="117">
        <v>11328</v>
      </c>
      <c r="N117" s="117"/>
      <c r="O117" s="117"/>
      <c r="P117" s="117">
        <v>0</v>
      </c>
      <c r="Q117" s="117">
        <v>22</v>
      </c>
      <c r="R117" s="117"/>
      <c r="S117" s="117">
        <v>12007</v>
      </c>
      <c r="T117" s="117"/>
      <c r="U117" s="117">
        <v>20843</v>
      </c>
      <c r="V117" s="117"/>
      <c r="W117" s="117">
        <v>36955</v>
      </c>
      <c r="X117" s="117"/>
      <c r="Y117" s="117"/>
      <c r="Z117" s="117"/>
      <c r="AA117" s="117">
        <v>495</v>
      </c>
      <c r="AB117" s="117"/>
      <c r="AC117" s="117">
        <v>4218</v>
      </c>
      <c r="AD117" s="117"/>
      <c r="AE117" s="117"/>
      <c r="AF117" s="117"/>
      <c r="AG117" s="117"/>
      <c r="AH117" s="117"/>
      <c r="AI117" s="117">
        <f>SUM(E117:AC117)+1</f>
        <v>91902</v>
      </c>
      <c r="AJ117" s="211">
        <f t="shared" ref="AJ117:AJ127" si="12">+AJ116</f>
        <v>91350</v>
      </c>
      <c r="AM117" s="105"/>
    </row>
    <row r="118" spans="1:39" x14ac:dyDescent="0.2">
      <c r="A118" s="118"/>
      <c r="B118" s="118"/>
      <c r="C118" s="146">
        <f t="shared" si="7"/>
        <v>2003.2499963000055</v>
      </c>
      <c r="D118" s="121">
        <v>37681</v>
      </c>
      <c r="E118" s="117">
        <v>635</v>
      </c>
      <c r="F118" s="117">
        <v>580</v>
      </c>
      <c r="G118" s="117">
        <v>726</v>
      </c>
      <c r="H118" s="117">
        <v>576</v>
      </c>
      <c r="I118" s="117">
        <v>171</v>
      </c>
      <c r="J118" s="272">
        <v>2920</v>
      </c>
      <c r="K118" s="272"/>
      <c r="L118" s="117">
        <v>255</v>
      </c>
      <c r="M118" s="117">
        <v>11666</v>
      </c>
      <c r="N118" s="117"/>
      <c r="O118" s="117"/>
      <c r="P118" s="117">
        <v>0</v>
      </c>
      <c r="Q118" s="117">
        <v>23</v>
      </c>
      <c r="R118" s="117"/>
      <c r="S118" s="117">
        <v>12186</v>
      </c>
      <c r="T118" s="117"/>
      <c r="U118" s="117">
        <v>21316</v>
      </c>
      <c r="V118" s="117"/>
      <c r="W118" s="117">
        <v>38066</v>
      </c>
      <c r="X118" s="117"/>
      <c r="Y118" s="117"/>
      <c r="Z118" s="117"/>
      <c r="AA118" s="117">
        <v>291</v>
      </c>
      <c r="AB118" s="117"/>
      <c r="AC118" s="117">
        <v>4242</v>
      </c>
      <c r="AD118" s="117"/>
      <c r="AE118" s="117"/>
      <c r="AF118" s="117"/>
      <c r="AG118" s="117"/>
      <c r="AH118" s="117"/>
      <c r="AI118" s="117">
        <f t="shared" ref="AI118:AI129" si="13">SUM(E118:AC118)</f>
        <v>93653</v>
      </c>
      <c r="AJ118" s="211">
        <f t="shared" si="12"/>
        <v>91350</v>
      </c>
    </row>
    <row r="119" spans="1:39" x14ac:dyDescent="0.2">
      <c r="A119" s="118"/>
      <c r="B119" s="118"/>
      <c r="C119" s="146">
        <f t="shared" si="7"/>
        <v>2003.3333296000055</v>
      </c>
      <c r="D119" s="121">
        <v>37712</v>
      </c>
      <c r="E119" s="117">
        <v>637</v>
      </c>
      <c r="F119" s="117">
        <v>576</v>
      </c>
      <c r="G119" s="117">
        <v>699</v>
      </c>
      <c r="H119" s="117">
        <v>589</v>
      </c>
      <c r="I119" s="117">
        <v>161</v>
      </c>
      <c r="J119" s="272">
        <v>3023</v>
      </c>
      <c r="K119" s="272"/>
      <c r="L119" s="117">
        <v>351</v>
      </c>
      <c r="M119" s="117">
        <v>11614</v>
      </c>
      <c r="N119" s="117"/>
      <c r="O119" s="117"/>
      <c r="P119" s="117">
        <v>0</v>
      </c>
      <c r="Q119" s="117">
        <v>23</v>
      </c>
      <c r="R119" s="117"/>
      <c r="S119" s="117">
        <v>12152</v>
      </c>
      <c r="T119" s="117"/>
      <c r="U119" s="117">
        <v>21988</v>
      </c>
      <c r="V119" s="117"/>
      <c r="W119" s="117">
        <v>38245</v>
      </c>
      <c r="X119" s="117"/>
      <c r="Y119" s="117"/>
      <c r="Z119" s="117"/>
      <c r="AA119" s="117">
        <v>375</v>
      </c>
      <c r="AB119" s="117"/>
      <c r="AC119" s="117">
        <v>4137</v>
      </c>
      <c r="AD119" s="117"/>
      <c r="AE119" s="117"/>
      <c r="AF119" s="117"/>
      <c r="AG119" s="117"/>
      <c r="AH119" s="117"/>
      <c r="AI119" s="117">
        <f t="shared" si="13"/>
        <v>94570</v>
      </c>
      <c r="AJ119" s="211">
        <f t="shared" si="12"/>
        <v>91350</v>
      </c>
    </row>
    <row r="120" spans="1:39" x14ac:dyDescent="0.2">
      <c r="A120" s="118"/>
      <c r="B120" s="118"/>
      <c r="C120" s="146">
        <f t="shared" si="7"/>
        <v>2003.4166629000056</v>
      </c>
      <c r="D120" s="121">
        <v>37742</v>
      </c>
      <c r="E120" s="117">
        <v>665</v>
      </c>
      <c r="F120" s="117">
        <v>561</v>
      </c>
      <c r="G120" s="117">
        <v>746</v>
      </c>
      <c r="H120" s="117">
        <v>607</v>
      </c>
      <c r="I120" s="117">
        <v>157</v>
      </c>
      <c r="J120" s="272">
        <v>3080</v>
      </c>
      <c r="K120" s="272"/>
      <c r="L120" s="117">
        <v>320</v>
      </c>
      <c r="M120" s="117">
        <v>11524</v>
      </c>
      <c r="N120" s="117"/>
      <c r="O120" s="117"/>
      <c r="P120" s="117">
        <v>0</v>
      </c>
      <c r="Q120" s="117">
        <v>23</v>
      </c>
      <c r="R120" s="117"/>
      <c r="S120" s="117">
        <v>11559</v>
      </c>
      <c r="T120" s="117"/>
      <c r="U120" s="117">
        <v>22808</v>
      </c>
      <c r="V120" s="117"/>
      <c r="W120" s="117">
        <v>36056</v>
      </c>
      <c r="X120" s="117"/>
      <c r="Y120" s="117"/>
      <c r="Z120" s="117"/>
      <c r="AA120" s="117">
        <v>411</v>
      </c>
      <c r="AB120" s="117"/>
      <c r="AC120" s="117">
        <v>4263</v>
      </c>
      <c r="AD120" s="117"/>
      <c r="AE120" s="117"/>
      <c r="AF120" s="117"/>
      <c r="AG120" s="117"/>
      <c r="AH120" s="117"/>
      <c r="AI120" s="117">
        <f t="shared" si="13"/>
        <v>92780</v>
      </c>
      <c r="AJ120" s="211">
        <f t="shared" si="12"/>
        <v>91350</v>
      </c>
    </row>
    <row r="121" spans="1:39" x14ac:dyDescent="0.2">
      <c r="A121" s="118"/>
      <c r="B121" s="118"/>
      <c r="C121" s="146">
        <f t="shared" si="7"/>
        <v>2003.4999962000056</v>
      </c>
      <c r="D121" s="121">
        <v>37773</v>
      </c>
      <c r="E121" s="117">
        <v>645</v>
      </c>
      <c r="F121" s="117">
        <v>573</v>
      </c>
      <c r="G121" s="117">
        <v>724</v>
      </c>
      <c r="H121" s="117">
        <v>574</v>
      </c>
      <c r="I121" s="117">
        <v>153</v>
      </c>
      <c r="J121" s="272">
        <v>3168</v>
      </c>
      <c r="K121" s="272"/>
      <c r="L121" s="117">
        <v>309</v>
      </c>
      <c r="M121" s="117">
        <v>11742</v>
      </c>
      <c r="N121" s="117"/>
      <c r="O121" s="117"/>
      <c r="P121" s="117">
        <v>0</v>
      </c>
      <c r="Q121" s="117">
        <v>21</v>
      </c>
      <c r="R121" s="117"/>
      <c r="S121" s="117">
        <v>11881</v>
      </c>
      <c r="T121" s="117"/>
      <c r="U121" s="117">
        <v>22558</v>
      </c>
      <c r="V121" s="117"/>
      <c r="W121" s="117">
        <v>37817</v>
      </c>
      <c r="X121" s="117"/>
      <c r="Y121" s="117"/>
      <c r="Z121" s="117"/>
      <c r="AA121" s="117">
        <f>126+217</f>
        <v>343</v>
      </c>
      <c r="AB121" s="117"/>
      <c r="AC121" s="117">
        <v>4288</v>
      </c>
      <c r="AD121" s="117"/>
      <c r="AE121" s="117"/>
      <c r="AF121" s="117"/>
      <c r="AG121" s="117"/>
      <c r="AH121" s="117"/>
      <c r="AI121" s="117">
        <f t="shared" si="13"/>
        <v>94796</v>
      </c>
      <c r="AJ121" s="211">
        <f t="shared" si="12"/>
        <v>91350</v>
      </c>
    </row>
    <row r="122" spans="1:39" x14ac:dyDescent="0.2">
      <c r="A122" s="118"/>
      <c r="B122" s="118"/>
      <c r="C122" s="146">
        <f t="shared" si="7"/>
        <v>2003.5833295000057</v>
      </c>
      <c r="D122" s="121">
        <v>37803</v>
      </c>
      <c r="E122" s="117">
        <v>691</v>
      </c>
      <c r="F122" s="117">
        <v>573</v>
      </c>
      <c r="G122" s="117">
        <v>720</v>
      </c>
      <c r="H122" s="117">
        <v>593</v>
      </c>
      <c r="I122" s="117">
        <v>149</v>
      </c>
      <c r="J122" s="272">
        <v>3369</v>
      </c>
      <c r="K122" s="272"/>
      <c r="L122" s="117">
        <v>308</v>
      </c>
      <c r="M122" s="117">
        <v>11891</v>
      </c>
      <c r="N122" s="117"/>
      <c r="O122" s="117"/>
      <c r="P122" s="117">
        <v>0</v>
      </c>
      <c r="Q122" s="117">
        <v>22</v>
      </c>
      <c r="R122" s="117"/>
      <c r="S122" s="117">
        <v>11575</v>
      </c>
      <c r="T122" s="117"/>
      <c r="U122" s="117">
        <v>21395</v>
      </c>
      <c r="V122" s="117"/>
      <c r="W122" s="117">
        <v>34341</v>
      </c>
      <c r="X122" s="117"/>
      <c r="Y122" s="117"/>
      <c r="Z122" s="117"/>
      <c r="AA122" s="117">
        <f>111+310</f>
        <v>421</v>
      </c>
      <c r="AB122" s="117"/>
      <c r="AC122" s="117">
        <v>4166</v>
      </c>
      <c r="AD122" s="117"/>
      <c r="AE122" s="117"/>
      <c r="AF122" s="117"/>
      <c r="AG122" s="117"/>
      <c r="AH122" s="117"/>
      <c r="AI122" s="117">
        <f t="shared" si="13"/>
        <v>90214</v>
      </c>
      <c r="AJ122" s="211">
        <f t="shared" si="12"/>
        <v>91350</v>
      </c>
    </row>
    <row r="123" spans="1:39" x14ac:dyDescent="0.2">
      <c r="A123" s="118"/>
      <c r="B123" s="118"/>
      <c r="C123" s="146">
        <f t="shared" si="7"/>
        <v>2003.6666628000057</v>
      </c>
      <c r="D123" s="121">
        <v>37834</v>
      </c>
      <c r="E123" s="117">
        <v>673</v>
      </c>
      <c r="F123" s="117">
        <v>584</v>
      </c>
      <c r="G123" s="117">
        <v>682</v>
      </c>
      <c r="H123" s="117">
        <v>604</v>
      </c>
      <c r="I123" s="117">
        <v>146</v>
      </c>
      <c r="J123" s="272">
        <v>3462</v>
      </c>
      <c r="K123" s="272"/>
      <c r="L123" s="117">
        <v>307</v>
      </c>
      <c r="M123" s="117">
        <v>11742</v>
      </c>
      <c r="N123" s="117"/>
      <c r="O123" s="117"/>
      <c r="P123" s="117">
        <v>0</v>
      </c>
      <c r="Q123" s="117">
        <v>21</v>
      </c>
      <c r="R123" s="117"/>
      <c r="S123" s="117">
        <v>11400</v>
      </c>
      <c r="T123" s="117"/>
      <c r="U123" s="117">
        <v>20331</v>
      </c>
      <c r="V123" s="117"/>
      <c r="W123" s="117">
        <v>35218</v>
      </c>
      <c r="X123" s="117"/>
      <c r="Y123" s="117"/>
      <c r="Z123" s="117"/>
      <c r="AA123" s="117">
        <v>307</v>
      </c>
      <c r="AB123" s="117"/>
      <c r="AC123" s="117">
        <v>2764</v>
      </c>
      <c r="AD123" s="117"/>
      <c r="AE123" s="117"/>
      <c r="AF123" s="117"/>
      <c r="AG123" s="117"/>
      <c r="AH123" s="117"/>
      <c r="AI123" s="117">
        <f t="shared" si="13"/>
        <v>88241</v>
      </c>
      <c r="AJ123" s="211">
        <f t="shared" si="12"/>
        <v>91350</v>
      </c>
    </row>
    <row r="124" spans="1:39" x14ac:dyDescent="0.2">
      <c r="A124" s="118"/>
      <c r="B124" s="118"/>
      <c r="C124" s="146">
        <f t="shared" si="7"/>
        <v>2003.7499961000058</v>
      </c>
      <c r="D124" s="121">
        <v>37865</v>
      </c>
      <c r="E124" s="117">
        <v>678</v>
      </c>
      <c r="F124" s="117">
        <v>552</v>
      </c>
      <c r="G124" s="117">
        <v>663</v>
      </c>
      <c r="H124" s="117">
        <v>588</v>
      </c>
      <c r="I124" s="117">
        <v>133</v>
      </c>
      <c r="J124" s="272">
        <v>3406</v>
      </c>
      <c r="K124" s="272"/>
      <c r="L124" s="117">
        <v>311</v>
      </c>
      <c r="M124" s="117">
        <v>11583</v>
      </c>
      <c r="N124" s="117"/>
      <c r="O124" s="117"/>
      <c r="P124" s="117">
        <v>0</v>
      </c>
      <c r="Q124" s="117">
        <v>23</v>
      </c>
      <c r="R124" s="117"/>
      <c r="S124" s="117">
        <v>11364</v>
      </c>
      <c r="T124" s="117"/>
      <c r="U124" s="117">
        <v>20183.3</v>
      </c>
      <c r="V124" s="117"/>
      <c r="W124" s="117">
        <v>35974</v>
      </c>
      <c r="X124" s="117"/>
      <c r="Y124" s="117"/>
      <c r="Z124" s="117"/>
      <c r="AA124" s="117">
        <f>94+236</f>
        <v>330</v>
      </c>
      <c r="AB124" s="117"/>
      <c r="AC124" s="117">
        <v>4089.4</v>
      </c>
      <c r="AD124" s="117"/>
      <c r="AE124" s="117"/>
      <c r="AF124" s="117"/>
      <c r="AG124" s="117"/>
      <c r="AH124" s="117"/>
      <c r="AI124" s="117">
        <f t="shared" si="13"/>
        <v>89877.7</v>
      </c>
      <c r="AJ124" s="211">
        <f t="shared" si="12"/>
        <v>91350</v>
      </c>
    </row>
    <row r="125" spans="1:39" x14ac:dyDescent="0.2">
      <c r="A125" s="118"/>
      <c r="B125" s="118"/>
      <c r="C125" s="146">
        <f t="shared" si="7"/>
        <v>2003.8333294000058</v>
      </c>
      <c r="D125" s="121">
        <v>37895</v>
      </c>
      <c r="E125" s="117">
        <v>626</v>
      </c>
      <c r="F125" s="117">
        <v>542</v>
      </c>
      <c r="G125" s="117">
        <v>626</v>
      </c>
      <c r="H125" s="117">
        <v>577</v>
      </c>
      <c r="I125" s="117">
        <v>142</v>
      </c>
      <c r="J125" s="272">
        <v>3500</v>
      </c>
      <c r="K125" s="272"/>
      <c r="L125" s="117">
        <v>305</v>
      </c>
      <c r="M125" s="117">
        <v>11334</v>
      </c>
      <c r="N125" s="117"/>
      <c r="O125" s="117"/>
      <c r="P125" s="117">
        <v>0</v>
      </c>
      <c r="Q125" s="117">
        <v>21</v>
      </c>
      <c r="R125" s="117"/>
      <c r="S125" s="117">
        <v>11021</v>
      </c>
      <c r="T125" s="117"/>
      <c r="U125" s="117">
        <v>20126</v>
      </c>
      <c r="V125" s="117"/>
      <c r="W125" s="117">
        <v>36169</v>
      </c>
      <c r="X125" s="117"/>
      <c r="Y125" s="117"/>
      <c r="Z125" s="117"/>
      <c r="AA125" s="117">
        <f>116+291</f>
        <v>407</v>
      </c>
      <c r="AB125" s="117"/>
      <c r="AC125" s="117">
        <v>4142</v>
      </c>
      <c r="AD125" s="117"/>
      <c r="AE125" s="117"/>
      <c r="AF125" s="117"/>
      <c r="AG125" s="117"/>
      <c r="AH125" s="117"/>
      <c r="AI125" s="117">
        <f t="shared" si="13"/>
        <v>89538</v>
      </c>
      <c r="AJ125" s="211">
        <f>+AJ124</f>
        <v>91350</v>
      </c>
    </row>
    <row r="126" spans="1:39" x14ac:dyDescent="0.2">
      <c r="A126" s="118"/>
      <c r="B126" s="118"/>
      <c r="C126" s="146">
        <f t="shared" si="7"/>
        <v>2003.9166627000059</v>
      </c>
      <c r="D126" s="121">
        <v>37926</v>
      </c>
      <c r="E126" s="117">
        <v>634</v>
      </c>
      <c r="F126" s="117">
        <v>505</v>
      </c>
      <c r="G126" s="117">
        <v>554</v>
      </c>
      <c r="H126" s="117">
        <v>549</v>
      </c>
      <c r="I126" s="117">
        <v>148</v>
      </c>
      <c r="J126" s="272">
        <v>3472</v>
      </c>
      <c r="K126" s="272"/>
      <c r="L126" s="117">
        <v>255</v>
      </c>
      <c r="M126" s="117">
        <v>10280</v>
      </c>
      <c r="N126" s="117"/>
      <c r="O126" s="117"/>
      <c r="P126" s="117">
        <v>0</v>
      </c>
      <c r="Q126" s="117">
        <v>21</v>
      </c>
      <c r="R126" s="117"/>
      <c r="S126" s="117">
        <v>9537</v>
      </c>
      <c r="T126" s="117"/>
      <c r="U126" s="117">
        <v>21739</v>
      </c>
      <c r="V126" s="117"/>
      <c r="W126" s="117">
        <v>33835</v>
      </c>
      <c r="X126" s="117"/>
      <c r="Y126" s="117"/>
      <c r="Z126" s="117"/>
      <c r="AA126" s="117">
        <f>151+214</f>
        <v>365</v>
      </c>
      <c r="AB126" s="117"/>
      <c r="AC126" s="117">
        <v>4135</v>
      </c>
      <c r="AD126" s="117"/>
      <c r="AE126" s="117"/>
      <c r="AF126" s="117"/>
      <c r="AG126" s="117"/>
      <c r="AH126" s="117"/>
      <c r="AI126" s="117">
        <f t="shared" si="13"/>
        <v>86029</v>
      </c>
      <c r="AJ126" s="211">
        <f t="shared" si="12"/>
        <v>91350</v>
      </c>
    </row>
    <row r="127" spans="1:39" x14ac:dyDescent="0.2">
      <c r="A127" s="118"/>
      <c r="B127" s="118"/>
      <c r="C127" s="146">
        <f t="shared" si="7"/>
        <v>2003.9999960000059</v>
      </c>
      <c r="D127" s="121">
        <v>37956</v>
      </c>
      <c r="E127" s="117">
        <v>675</v>
      </c>
      <c r="F127" s="117">
        <v>562</v>
      </c>
      <c r="G127" s="117">
        <v>600</v>
      </c>
      <c r="H127" s="117">
        <v>592</v>
      </c>
      <c r="I127" s="117">
        <v>147</v>
      </c>
      <c r="J127" s="272">
        <v>4015</v>
      </c>
      <c r="K127" s="272"/>
      <c r="L127" s="117">
        <v>349</v>
      </c>
      <c r="M127" s="117">
        <v>12261</v>
      </c>
      <c r="N127" s="117"/>
      <c r="O127" s="117"/>
      <c r="P127" s="117">
        <v>0</v>
      </c>
      <c r="Q127" s="117">
        <v>22</v>
      </c>
      <c r="R127" s="117"/>
      <c r="S127" s="117">
        <v>12677</v>
      </c>
      <c r="T127" s="117"/>
      <c r="U127" s="117">
        <v>20872</v>
      </c>
      <c r="V127" s="117"/>
      <c r="W127" s="117">
        <v>34335</v>
      </c>
      <c r="X127" s="117"/>
      <c r="Y127" s="117"/>
      <c r="Z127" s="117"/>
      <c r="AA127" s="117">
        <f>110+321</f>
        <v>431</v>
      </c>
      <c r="AB127" s="117"/>
      <c r="AC127" s="117">
        <v>3985</v>
      </c>
      <c r="AD127" s="117"/>
      <c r="AE127" s="117"/>
      <c r="AF127" s="117"/>
      <c r="AG127" s="117"/>
      <c r="AH127" s="117"/>
      <c r="AI127" s="117">
        <f t="shared" si="13"/>
        <v>91523</v>
      </c>
      <c r="AJ127" s="211">
        <f t="shared" si="12"/>
        <v>91350</v>
      </c>
    </row>
    <row r="128" spans="1:39" x14ac:dyDescent="0.2">
      <c r="A128" s="118"/>
      <c r="B128" s="118"/>
      <c r="C128" s="146">
        <f t="shared" si="7"/>
        <v>2004.083329300006</v>
      </c>
      <c r="D128" s="121">
        <v>37987</v>
      </c>
      <c r="E128" s="117">
        <v>622</v>
      </c>
      <c r="F128" s="117">
        <v>530</v>
      </c>
      <c r="G128" s="117">
        <v>562</v>
      </c>
      <c r="H128" s="117">
        <v>569</v>
      </c>
      <c r="I128" s="117">
        <v>143</v>
      </c>
      <c r="J128" s="272">
        <v>3622</v>
      </c>
      <c r="K128" s="272"/>
      <c r="L128" s="117">
        <v>328</v>
      </c>
      <c r="M128" s="117">
        <v>11340</v>
      </c>
      <c r="N128" s="117"/>
      <c r="O128" s="117"/>
      <c r="P128" s="117"/>
      <c r="Q128" s="117">
        <v>22</v>
      </c>
      <c r="R128" s="117"/>
      <c r="S128" s="117">
        <v>11306</v>
      </c>
      <c r="T128" s="117"/>
      <c r="U128" s="117">
        <v>20987</v>
      </c>
      <c r="V128" s="117"/>
      <c r="W128" s="117">
        <v>32989</v>
      </c>
      <c r="X128" s="117"/>
      <c r="Y128" s="117"/>
      <c r="Z128" s="117"/>
      <c r="AA128" s="117">
        <f>85+201</f>
        <v>286</v>
      </c>
      <c r="AB128" s="117"/>
      <c r="AC128" s="117">
        <v>3983</v>
      </c>
      <c r="AD128" s="117"/>
      <c r="AE128" s="117"/>
      <c r="AF128" s="117"/>
      <c r="AG128" s="117"/>
      <c r="AH128" s="117"/>
      <c r="AI128" s="117">
        <f t="shared" si="13"/>
        <v>87289</v>
      </c>
      <c r="AJ128" s="211">
        <v>94120</v>
      </c>
    </row>
    <row r="129" spans="3:38" x14ac:dyDescent="0.2">
      <c r="C129" s="146">
        <f t="shared" si="7"/>
        <v>2004.166662600006</v>
      </c>
      <c r="D129" s="121">
        <v>38018</v>
      </c>
      <c r="E129" s="117">
        <v>611</v>
      </c>
      <c r="F129" s="117">
        <v>512</v>
      </c>
      <c r="G129" s="117">
        <v>575</v>
      </c>
      <c r="H129" s="117">
        <v>526</v>
      </c>
      <c r="I129" s="117">
        <v>148</v>
      </c>
      <c r="J129" s="272">
        <v>3604</v>
      </c>
      <c r="K129" s="272"/>
      <c r="L129" s="117">
        <v>327</v>
      </c>
      <c r="M129" s="117">
        <v>11162</v>
      </c>
      <c r="N129" s="117"/>
      <c r="O129" s="117"/>
      <c r="P129" s="117"/>
      <c r="Q129" s="117">
        <v>21</v>
      </c>
      <c r="R129" s="117"/>
      <c r="S129" s="117">
        <v>11100</v>
      </c>
      <c r="T129" s="117"/>
      <c r="U129" s="117">
        <v>19461</v>
      </c>
      <c r="V129" s="117"/>
      <c r="W129" s="117">
        <v>32358</v>
      </c>
      <c r="X129" s="117"/>
      <c r="Y129" s="117"/>
      <c r="Z129" s="117"/>
      <c r="AA129" s="117">
        <v>355</v>
      </c>
      <c r="AB129" s="117"/>
      <c r="AC129" s="117">
        <v>3863</v>
      </c>
      <c r="AD129" s="117"/>
      <c r="AE129" s="117"/>
      <c r="AF129" s="117"/>
      <c r="AG129" s="117"/>
      <c r="AH129" s="117"/>
      <c r="AI129" s="117">
        <f t="shared" si="13"/>
        <v>84623</v>
      </c>
      <c r="AJ129" s="211">
        <v>94120</v>
      </c>
    </row>
    <row r="130" spans="3:38" x14ac:dyDescent="0.2">
      <c r="C130" s="146">
        <f t="shared" si="7"/>
        <v>2004.2499959000061</v>
      </c>
      <c r="D130" s="121">
        <v>38047</v>
      </c>
      <c r="E130" s="117">
        <v>608</v>
      </c>
      <c r="F130" s="117">
        <v>512</v>
      </c>
      <c r="G130" s="117">
        <v>573</v>
      </c>
      <c r="H130" s="117">
        <v>533</v>
      </c>
      <c r="I130" s="117">
        <v>140</v>
      </c>
      <c r="J130" s="272">
        <v>3645</v>
      </c>
      <c r="K130" s="272"/>
      <c r="L130" s="117">
        <v>318</v>
      </c>
      <c r="M130" s="117">
        <v>11191</v>
      </c>
      <c r="N130" s="117"/>
      <c r="O130" s="117"/>
      <c r="P130" s="117"/>
      <c r="Q130" s="117">
        <v>22</v>
      </c>
      <c r="R130" s="117"/>
      <c r="S130" s="117">
        <v>10798</v>
      </c>
      <c r="T130" s="117"/>
      <c r="U130" s="117">
        <v>19728</v>
      </c>
      <c r="V130" s="117"/>
      <c r="W130" s="117">
        <v>31934</v>
      </c>
      <c r="X130" s="117"/>
      <c r="Y130" s="117"/>
      <c r="Z130" s="117"/>
      <c r="AA130" s="117">
        <f>139+198</f>
        <v>337</v>
      </c>
      <c r="AB130" s="117"/>
      <c r="AC130" s="117">
        <v>3966</v>
      </c>
      <c r="AD130" s="117"/>
      <c r="AE130" s="117"/>
      <c r="AF130" s="117"/>
      <c r="AG130" s="117"/>
      <c r="AH130" s="117"/>
      <c r="AI130" s="117">
        <v>84306</v>
      </c>
      <c r="AJ130" s="211">
        <v>94120</v>
      </c>
    </row>
    <row r="131" spans="3:38" x14ac:dyDescent="0.2">
      <c r="C131" s="146">
        <f t="shared" si="7"/>
        <v>2004.3333292000061</v>
      </c>
      <c r="D131" s="121">
        <v>38078</v>
      </c>
      <c r="E131" s="117">
        <v>636.43333333333328</v>
      </c>
      <c r="F131" s="117">
        <v>508.36666666666667</v>
      </c>
      <c r="G131" s="117">
        <v>546.43333333333328</v>
      </c>
      <c r="H131" s="117">
        <v>530.6</v>
      </c>
      <c r="I131" s="117">
        <v>145.06666666666666</v>
      </c>
      <c r="J131" s="272">
        <v>3604.5</v>
      </c>
      <c r="K131" s="272">
        <v>636.43333333333328</v>
      </c>
      <c r="L131" s="117">
        <v>312.2</v>
      </c>
      <c r="M131" s="117">
        <v>11077.666666666666</v>
      </c>
      <c r="N131" s="117"/>
      <c r="O131" s="117"/>
      <c r="P131" s="117"/>
      <c r="Q131" s="117">
        <v>20.266666666666666</v>
      </c>
      <c r="R131" s="117"/>
      <c r="S131" s="117">
        <v>10909.6</v>
      </c>
      <c r="T131" s="117"/>
      <c r="U131" s="117">
        <v>19947.3</v>
      </c>
      <c r="V131" s="117"/>
      <c r="W131" s="117">
        <v>31668.666666666668</v>
      </c>
      <c r="X131" s="117"/>
      <c r="Y131" s="117"/>
      <c r="Z131" s="117"/>
      <c r="AA131" s="117">
        <v>295.66666666666669</v>
      </c>
      <c r="AB131" s="117"/>
      <c r="AC131" s="117">
        <v>4078.6666666666665</v>
      </c>
      <c r="AD131" s="117"/>
      <c r="AE131" s="117"/>
      <c r="AF131" s="117"/>
      <c r="AG131" s="117"/>
      <c r="AH131" s="117"/>
      <c r="AI131" s="117">
        <v>84281</v>
      </c>
      <c r="AJ131" s="211">
        <v>94120</v>
      </c>
    </row>
    <row r="132" spans="3:38" x14ac:dyDescent="0.2">
      <c r="C132" s="146">
        <f t="shared" si="7"/>
        <v>2004.4166625000062</v>
      </c>
      <c r="D132" s="121">
        <v>38108</v>
      </c>
      <c r="E132" s="117">
        <v>636.83870967741939</v>
      </c>
      <c r="F132" s="117">
        <v>504.90322580645159</v>
      </c>
      <c r="G132" s="117">
        <v>566.67741935483866</v>
      </c>
      <c r="H132" s="117">
        <v>537.83870967741939</v>
      </c>
      <c r="I132" s="117">
        <v>136.93548387096774</v>
      </c>
      <c r="J132" s="272">
        <v>3630</v>
      </c>
      <c r="K132" s="272">
        <v>508.36666666666667</v>
      </c>
      <c r="L132" s="117">
        <v>306.77419354838707</v>
      </c>
      <c r="M132" s="117">
        <v>11056.41935483871</v>
      </c>
      <c r="N132" s="117"/>
      <c r="O132" s="117"/>
      <c r="P132" s="117"/>
      <c r="Q132" s="117">
        <v>20.741935483870968</v>
      </c>
      <c r="R132" s="117"/>
      <c r="S132" s="117">
        <v>10623.645161290322</v>
      </c>
      <c r="T132" s="117"/>
      <c r="U132" s="117">
        <v>19531</v>
      </c>
      <c r="V132" s="117"/>
      <c r="W132" s="117">
        <v>32416.580645161292</v>
      </c>
      <c r="X132" s="117"/>
      <c r="Y132" s="117"/>
      <c r="Z132" s="117"/>
      <c r="AA132" s="117">
        <v>336.25806451612902</v>
      </c>
      <c r="AB132" s="117"/>
      <c r="AC132" s="117">
        <v>3228.3870967741937</v>
      </c>
      <c r="AD132" s="117"/>
      <c r="AE132" s="117"/>
      <c r="AF132" s="117"/>
      <c r="AG132" s="117"/>
      <c r="AH132" s="117"/>
      <c r="AI132" s="117">
        <f>SUM(E132:I132)+SUM(L132:AC132)+J132</f>
        <v>83533</v>
      </c>
      <c r="AJ132" s="211">
        <v>94120</v>
      </c>
    </row>
    <row r="133" spans="3:38" x14ac:dyDescent="0.2">
      <c r="C133" s="146">
        <f t="shared" si="7"/>
        <v>2004.4999958000062</v>
      </c>
      <c r="D133" s="121">
        <v>38139</v>
      </c>
      <c r="E133" s="117">
        <v>633.36666666666667</v>
      </c>
      <c r="F133" s="117">
        <v>514.33333333333337</v>
      </c>
      <c r="G133" s="117">
        <v>669.5</v>
      </c>
      <c r="H133" s="117">
        <v>439.23333333333335</v>
      </c>
      <c r="I133" s="117">
        <v>147.03333333333333</v>
      </c>
      <c r="J133" s="272">
        <v>3661.0666666666666</v>
      </c>
      <c r="K133" s="272"/>
      <c r="L133" s="117">
        <v>306.26666666666665</v>
      </c>
      <c r="M133" s="117">
        <v>10900.566666666668</v>
      </c>
      <c r="N133" s="117"/>
      <c r="O133" s="117"/>
      <c r="P133" s="117"/>
      <c r="Q133" s="117">
        <v>20.5</v>
      </c>
      <c r="R133" s="117"/>
      <c r="S133" s="117">
        <v>10632.9</v>
      </c>
      <c r="T133" s="117"/>
      <c r="U133" s="117">
        <v>19994.233333333334</v>
      </c>
      <c r="V133" s="117"/>
      <c r="W133" s="117">
        <v>33127.800000000003</v>
      </c>
      <c r="X133" s="117">
        <v>4116.833333333333</v>
      </c>
      <c r="Y133" s="117"/>
      <c r="Z133" s="117"/>
      <c r="AA133" s="117">
        <v>304.66666666666669</v>
      </c>
      <c r="AB133" s="117"/>
      <c r="AC133" s="117">
        <v>4067.7333333333331</v>
      </c>
      <c r="AD133" s="117"/>
      <c r="AE133" s="117"/>
      <c r="AF133" s="117"/>
      <c r="AG133" s="117"/>
      <c r="AH133" s="117"/>
      <c r="AI133" s="117">
        <f>SUM(E133:AC133)</f>
        <v>89536.03333333334</v>
      </c>
      <c r="AJ133" s="211">
        <v>94120</v>
      </c>
    </row>
    <row r="134" spans="3:38" x14ac:dyDescent="0.2">
      <c r="C134" s="146">
        <f t="shared" si="7"/>
        <v>2004.5833291000063</v>
      </c>
      <c r="D134" s="121">
        <v>38169</v>
      </c>
      <c r="E134" s="117">
        <v>628.12903225806451</v>
      </c>
      <c r="F134" s="117">
        <v>520.12903225806451</v>
      </c>
      <c r="G134" s="117">
        <v>616.80645161290317</v>
      </c>
      <c r="H134" s="117">
        <v>576.90322580645159</v>
      </c>
      <c r="I134" s="117">
        <v>135.09677419354838</v>
      </c>
      <c r="J134" s="272">
        <v>3662.0322580645161</v>
      </c>
      <c r="K134" s="272"/>
      <c r="L134" s="117">
        <v>305.87096774193549</v>
      </c>
      <c r="M134" s="117">
        <v>11101.322580645161</v>
      </c>
      <c r="N134" s="117"/>
      <c r="O134" s="117"/>
      <c r="P134" s="117"/>
      <c r="Q134" s="117">
        <v>20.806451612903224</v>
      </c>
      <c r="R134" s="117"/>
      <c r="S134" s="117">
        <v>10569.774193548386</v>
      </c>
      <c r="T134" s="117"/>
      <c r="U134" s="117">
        <v>19436.032258064515</v>
      </c>
      <c r="V134" s="117"/>
      <c r="W134" s="117">
        <v>33335.870967741932</v>
      </c>
      <c r="X134" s="117">
        <v>4350.5161290322585</v>
      </c>
      <c r="Y134" s="117"/>
      <c r="Z134" s="117"/>
      <c r="AA134" s="117">
        <v>391.54838709677421</v>
      </c>
      <c r="AB134" s="117"/>
      <c r="AC134" s="117">
        <v>4032.6774193548385</v>
      </c>
      <c r="AD134" s="117"/>
      <c r="AE134" s="117"/>
      <c r="AF134" s="117"/>
      <c r="AG134" s="117"/>
      <c r="AH134" s="117"/>
      <c r="AI134" s="117">
        <f>SUM(E134:AC134)</f>
        <v>89683.516129032243</v>
      </c>
      <c r="AJ134" s="211">
        <v>94120</v>
      </c>
    </row>
    <row r="135" spans="3:38" x14ac:dyDescent="0.2">
      <c r="C135" s="146">
        <f t="shared" si="7"/>
        <v>2004.6666624000063</v>
      </c>
      <c r="D135" s="121">
        <v>38200</v>
      </c>
      <c r="E135" s="117">
        <v>595.64516129032256</v>
      </c>
      <c r="F135" s="117">
        <v>554.90322580645159</v>
      </c>
      <c r="G135" s="117">
        <v>642.9677419354839</v>
      </c>
      <c r="H135" s="117">
        <v>524.70967741935488</v>
      </c>
      <c r="I135" s="117">
        <v>136.48387096774192</v>
      </c>
      <c r="J135" s="272">
        <v>3615.6451612903224</v>
      </c>
      <c r="K135" s="272"/>
      <c r="L135" s="117">
        <v>302.70967741935482</v>
      </c>
      <c r="M135" s="117">
        <v>11180</v>
      </c>
      <c r="N135" s="117"/>
      <c r="O135" s="117"/>
      <c r="P135" s="117"/>
      <c r="Q135" s="117">
        <v>18.322580645161292</v>
      </c>
      <c r="R135" s="117"/>
      <c r="S135" s="117">
        <v>11005.193548387097</v>
      </c>
      <c r="T135" s="117"/>
      <c r="U135" s="117">
        <v>19294.806451612902</v>
      </c>
      <c r="V135" s="117"/>
      <c r="W135" s="117">
        <v>31762.193548387098</v>
      </c>
      <c r="X135" s="117">
        <v>10001.838709677419</v>
      </c>
      <c r="Y135" s="117"/>
      <c r="Z135" s="117"/>
      <c r="AA135" s="117">
        <v>298.16129032258067</v>
      </c>
      <c r="AB135" s="117"/>
      <c r="AC135" s="117">
        <v>3985.5483870967741</v>
      </c>
      <c r="AD135" s="117"/>
      <c r="AE135" s="117"/>
      <c r="AF135" s="117"/>
      <c r="AG135" s="117"/>
      <c r="AH135" s="117"/>
      <c r="AI135" s="117">
        <f>SUM(E135:AC135)</f>
        <v>93919.129032258061</v>
      </c>
      <c r="AJ135" s="211">
        <v>94120</v>
      </c>
    </row>
    <row r="136" spans="3:38" x14ac:dyDescent="0.2">
      <c r="C136" s="146">
        <f t="shared" si="7"/>
        <v>2004.7499957000064</v>
      </c>
      <c r="D136" s="121">
        <v>38231</v>
      </c>
      <c r="E136" s="117">
        <v>617</v>
      </c>
      <c r="F136" s="117">
        <v>539.79999999999995</v>
      </c>
      <c r="G136" s="117">
        <v>683.8</v>
      </c>
      <c r="H136" s="117">
        <v>668.7</v>
      </c>
      <c r="I136" s="117">
        <v>135.56666666666666</v>
      </c>
      <c r="J136" s="272">
        <v>3657.0333333333333</v>
      </c>
      <c r="K136" s="272"/>
      <c r="L136" s="117">
        <v>300.8</v>
      </c>
      <c r="M136" s="117">
        <v>11471.466666666667</v>
      </c>
      <c r="N136" s="117"/>
      <c r="O136" s="117"/>
      <c r="P136" s="117"/>
      <c r="Q136" s="117">
        <v>23.666666666666668</v>
      </c>
      <c r="R136" s="117"/>
      <c r="S136" s="117">
        <v>10418.533333333333</v>
      </c>
      <c r="T136" s="117"/>
      <c r="U136" s="117">
        <v>18984.833333333332</v>
      </c>
      <c r="V136" s="117"/>
      <c r="W136" s="117">
        <v>30988.366666666665</v>
      </c>
      <c r="X136" s="117">
        <v>22394.733333333334</v>
      </c>
      <c r="Y136" s="117"/>
      <c r="Z136" s="117"/>
      <c r="AA136" s="117">
        <v>364</v>
      </c>
      <c r="AB136" s="117"/>
      <c r="AC136" s="117">
        <v>3944.2</v>
      </c>
      <c r="AD136" s="117"/>
      <c r="AE136" s="117"/>
      <c r="AF136" s="117"/>
      <c r="AG136" s="117"/>
      <c r="AH136" s="117"/>
      <c r="AI136" s="117">
        <v>105193</v>
      </c>
      <c r="AJ136" s="211">
        <v>94120</v>
      </c>
    </row>
    <row r="137" spans="3:38" x14ac:dyDescent="0.2">
      <c r="C137" s="146">
        <f t="shared" si="7"/>
        <v>2004.8333290000064</v>
      </c>
      <c r="D137" s="121">
        <v>38261</v>
      </c>
      <c r="E137" s="117">
        <v>659.70967741935488</v>
      </c>
      <c r="F137" s="117">
        <v>550.87096774193549</v>
      </c>
      <c r="G137" s="117">
        <v>776.19354838709683</v>
      </c>
      <c r="H137" s="117">
        <v>776.09677419354841</v>
      </c>
      <c r="I137" s="117">
        <v>130.74193548387098</v>
      </c>
      <c r="J137" s="272">
        <v>3615.483870967742</v>
      </c>
      <c r="K137" s="272"/>
      <c r="L137" s="117">
        <v>299.90322580645159</v>
      </c>
      <c r="M137" s="117">
        <v>11985.258064516129</v>
      </c>
      <c r="N137" s="117"/>
      <c r="O137" s="117"/>
      <c r="P137" s="117"/>
      <c r="Q137" s="117">
        <v>19.451612903225808</v>
      </c>
      <c r="R137" s="117"/>
      <c r="S137" s="117">
        <v>10551.806451612903</v>
      </c>
      <c r="T137" s="117"/>
      <c r="U137" s="117">
        <v>18969.645161290322</v>
      </c>
      <c r="V137" s="117"/>
      <c r="W137" s="117">
        <v>30539.322580645163</v>
      </c>
      <c r="X137" s="117">
        <v>29186.419354838708</v>
      </c>
      <c r="Y137" s="117"/>
      <c r="Z137" s="117"/>
      <c r="AA137" s="117">
        <v>329.22580645161293</v>
      </c>
      <c r="AB137" s="117"/>
      <c r="AC137" s="117">
        <v>3959.0322580645161</v>
      </c>
      <c r="AD137" s="117"/>
      <c r="AE137" s="117"/>
      <c r="AF137" s="117"/>
      <c r="AG137" s="117"/>
      <c r="AH137" s="117"/>
      <c r="AI137" s="117">
        <v>112349</v>
      </c>
      <c r="AJ137" s="211">
        <v>94120</v>
      </c>
    </row>
    <row r="138" spans="3:38" x14ac:dyDescent="0.2">
      <c r="C138" s="146">
        <f t="shared" si="7"/>
        <v>2004.9166623000065</v>
      </c>
      <c r="D138" s="121">
        <v>38292</v>
      </c>
      <c r="E138" s="117">
        <v>736.63333333333333</v>
      </c>
      <c r="F138" s="117">
        <v>551.9</v>
      </c>
      <c r="G138" s="117">
        <v>815.0333333333333</v>
      </c>
      <c r="H138" s="117">
        <v>862.16666666666663</v>
      </c>
      <c r="I138" s="117">
        <v>134.76666666666668</v>
      </c>
      <c r="J138" s="272">
        <v>3553.5666666666666</v>
      </c>
      <c r="K138" s="272"/>
      <c r="L138" s="117">
        <v>300.43333333333334</v>
      </c>
      <c r="M138" s="117">
        <v>11653.466666666667</v>
      </c>
      <c r="N138" s="117"/>
      <c r="O138" s="117"/>
      <c r="P138" s="117"/>
      <c r="Q138" s="117">
        <v>20.333333333333332</v>
      </c>
      <c r="R138" s="117"/>
      <c r="S138" s="117">
        <v>10533.166666666666</v>
      </c>
      <c r="T138" s="117"/>
      <c r="U138" s="117">
        <v>16455.166666666668</v>
      </c>
      <c r="V138" s="117"/>
      <c r="W138" s="117">
        <v>28979.766666666666</v>
      </c>
      <c r="X138" s="117">
        <v>31555.1</v>
      </c>
      <c r="Y138" s="117"/>
      <c r="Z138" s="117"/>
      <c r="AA138" s="117">
        <v>374.03333333333336</v>
      </c>
      <c r="AB138" s="117"/>
      <c r="AC138" s="117">
        <v>3953.8666666666668</v>
      </c>
      <c r="AD138" s="117"/>
      <c r="AE138" s="117"/>
      <c r="AF138" s="117"/>
      <c r="AG138" s="117"/>
      <c r="AH138" s="117"/>
      <c r="AI138" s="117">
        <v>110479</v>
      </c>
      <c r="AJ138" s="211">
        <v>94120</v>
      </c>
    </row>
    <row r="139" spans="3:38" x14ac:dyDescent="0.2">
      <c r="C139" s="146">
        <f t="shared" si="7"/>
        <v>2004.9999956000065</v>
      </c>
      <c r="D139" s="121">
        <v>38322</v>
      </c>
      <c r="E139" s="117">
        <v>705.38709677419354</v>
      </c>
      <c r="F139" s="117">
        <v>551.67741935483866</v>
      </c>
      <c r="G139" s="117">
        <v>817.09677419354841</v>
      </c>
      <c r="H139" s="117">
        <v>869.9677419354839</v>
      </c>
      <c r="I139" s="117">
        <v>134.64516129032259</v>
      </c>
      <c r="J139" s="272">
        <v>3515</v>
      </c>
      <c r="K139" s="272"/>
      <c r="L139" s="117">
        <v>301.38709677419354</v>
      </c>
      <c r="M139" s="117">
        <v>11743.870967741936</v>
      </c>
      <c r="N139" s="117"/>
      <c r="O139" s="117"/>
      <c r="P139" s="117"/>
      <c r="Q139" s="117">
        <v>19.580645161290324</v>
      </c>
      <c r="R139" s="117"/>
      <c r="S139" s="117">
        <v>10417.258064516129</v>
      </c>
      <c r="T139" s="117"/>
      <c r="U139" s="117">
        <v>19301.806451612902</v>
      </c>
      <c r="V139" s="117"/>
      <c r="W139" s="117">
        <v>29450.548387096773</v>
      </c>
      <c r="X139" s="117">
        <v>22080</v>
      </c>
      <c r="Y139" s="117"/>
      <c r="Z139" s="117"/>
      <c r="AA139" s="117">
        <v>338.35483870967744</v>
      </c>
      <c r="AB139" s="117">
        <v>29.129032258064516</v>
      </c>
      <c r="AC139" s="117">
        <v>3782.4193548387098</v>
      </c>
      <c r="AD139" s="117"/>
      <c r="AE139" s="117"/>
      <c r="AF139" s="117"/>
      <c r="AG139" s="117"/>
      <c r="AH139" s="117"/>
      <c r="AI139" s="117">
        <v>104058</v>
      </c>
      <c r="AJ139" s="211">
        <v>94120</v>
      </c>
      <c r="AL139" s="104"/>
    </row>
    <row r="140" spans="3:38" x14ac:dyDescent="0.2">
      <c r="C140" s="146">
        <f>+C139+0.0833333</f>
        <v>2005.0833289000066</v>
      </c>
      <c r="D140" s="121">
        <v>38353</v>
      </c>
      <c r="E140" s="117">
        <v>733.35483870967744</v>
      </c>
      <c r="F140" s="117">
        <v>552.0322580645161</v>
      </c>
      <c r="G140" s="117">
        <v>906.35483870967744</v>
      </c>
      <c r="H140" s="117">
        <v>877.48387096774195</v>
      </c>
      <c r="I140" s="117">
        <v>139.7741935483871</v>
      </c>
      <c r="J140" s="272">
        <v>3414</v>
      </c>
      <c r="K140" s="272"/>
      <c r="L140" s="117">
        <v>300.19354838709677</v>
      </c>
      <c r="M140" s="117">
        <v>11990.290322580646</v>
      </c>
      <c r="N140" s="117"/>
      <c r="O140" s="117"/>
      <c r="P140" s="117"/>
      <c r="Q140" s="117">
        <v>20.451612903225808</v>
      </c>
      <c r="R140" s="117"/>
      <c r="S140" s="117">
        <v>10308.354838709678</v>
      </c>
      <c r="T140" s="117"/>
      <c r="U140" s="117">
        <v>18296</v>
      </c>
      <c r="V140" s="117"/>
      <c r="W140" s="117">
        <v>26388.032258064515</v>
      </c>
      <c r="X140" s="117">
        <v>53509</v>
      </c>
      <c r="Y140" s="117"/>
      <c r="Z140" s="117"/>
      <c r="AA140" s="117">
        <v>303.77419354838707</v>
      </c>
      <c r="AB140" s="117">
        <v>0</v>
      </c>
      <c r="AC140" s="117">
        <v>3843.6774193548385</v>
      </c>
      <c r="AD140" s="117"/>
      <c r="AE140" s="117"/>
      <c r="AF140" s="117"/>
      <c r="AG140" s="117"/>
      <c r="AH140" s="117"/>
      <c r="AI140" s="117">
        <v>108365</v>
      </c>
      <c r="AJ140" s="211">
        <v>111295</v>
      </c>
      <c r="AL140" s="104"/>
    </row>
    <row r="141" spans="3:38" x14ac:dyDescent="0.2">
      <c r="C141" s="146">
        <f t="shared" si="7"/>
        <v>2005.1666622000066</v>
      </c>
      <c r="D141" s="121">
        <v>38384</v>
      </c>
      <c r="E141" s="117">
        <v>776.28571428571433</v>
      </c>
      <c r="F141" s="117">
        <v>548.96428571428567</v>
      </c>
      <c r="G141" s="117">
        <v>893.21428571428567</v>
      </c>
      <c r="H141" s="117">
        <v>844.78571428571433</v>
      </c>
      <c r="I141" s="117">
        <v>144.14285714285714</v>
      </c>
      <c r="J141" s="272">
        <v>3357</v>
      </c>
      <c r="K141" s="272"/>
      <c r="L141" s="117">
        <v>295.32142857142856</v>
      </c>
      <c r="M141" s="117">
        <v>12148.714285714286</v>
      </c>
      <c r="N141" s="117"/>
      <c r="O141" s="117"/>
      <c r="P141" s="117"/>
      <c r="Q141" s="117">
        <v>18.035714285714285</v>
      </c>
      <c r="R141" s="117"/>
      <c r="S141" s="117">
        <v>10020.928571428571</v>
      </c>
      <c r="T141" s="117"/>
      <c r="U141" s="117">
        <v>18901.785714285714</v>
      </c>
      <c r="V141" s="117"/>
      <c r="W141" s="117">
        <v>27820.785714285714</v>
      </c>
      <c r="X141" s="117">
        <v>34555.821428571428</v>
      </c>
      <c r="Y141" s="117"/>
      <c r="Z141" s="117"/>
      <c r="AA141" s="117">
        <v>327.60714285714283</v>
      </c>
      <c r="AB141" s="117">
        <v>0</v>
      </c>
      <c r="AC141" s="117">
        <v>3917.75</v>
      </c>
      <c r="AD141" s="117"/>
      <c r="AE141" s="117"/>
      <c r="AF141" s="117"/>
      <c r="AG141" s="117"/>
      <c r="AH141" s="117"/>
      <c r="AI141" s="117">
        <v>114571</v>
      </c>
      <c r="AJ141" s="211">
        <v>111295</v>
      </c>
    </row>
    <row r="142" spans="3:38" x14ac:dyDescent="0.2">
      <c r="C142" s="146">
        <f t="shared" si="7"/>
        <v>2005.2499955000067</v>
      </c>
      <c r="D142" s="121">
        <v>38412</v>
      </c>
      <c r="E142" s="117">
        <v>735.61290322580646</v>
      </c>
      <c r="F142" s="117">
        <v>545.45161290322585</v>
      </c>
      <c r="G142" s="117">
        <v>893.54838709677415</v>
      </c>
      <c r="H142" s="117">
        <v>731.64516129032256</v>
      </c>
      <c r="I142" s="117">
        <v>116.35483870967742</v>
      </c>
      <c r="J142" s="272">
        <v>3434.3225806451615</v>
      </c>
      <c r="K142" s="272"/>
      <c r="L142" s="117">
        <v>291.25806451612902</v>
      </c>
      <c r="M142" s="117">
        <v>12416.967741935483</v>
      </c>
      <c r="N142" s="117"/>
      <c r="O142" s="117"/>
      <c r="P142" s="117"/>
      <c r="Q142" s="117">
        <v>19.451612903225808</v>
      </c>
      <c r="R142" s="117"/>
      <c r="S142" s="117">
        <v>10154.741935483871</v>
      </c>
      <c r="T142" s="117"/>
      <c r="U142" s="117">
        <v>17946.354838709678</v>
      </c>
      <c r="V142" s="117"/>
      <c r="W142" s="117">
        <v>25865.967741935485</v>
      </c>
      <c r="X142" s="117">
        <v>32844.419354838712</v>
      </c>
      <c r="Y142" s="117"/>
      <c r="Z142" s="117"/>
      <c r="AA142" s="117">
        <v>452.48387096774195</v>
      </c>
      <c r="AB142" s="117">
        <v>0</v>
      </c>
      <c r="AC142" s="117">
        <v>3824</v>
      </c>
      <c r="AD142" s="117"/>
      <c r="AE142" s="117"/>
      <c r="AF142" s="117"/>
      <c r="AG142" s="117"/>
      <c r="AH142" s="117"/>
      <c r="AI142" s="117">
        <v>110273</v>
      </c>
      <c r="AJ142" s="211">
        <v>111295</v>
      </c>
    </row>
    <row r="143" spans="3:38" x14ac:dyDescent="0.2">
      <c r="C143" s="146">
        <f t="shared" si="7"/>
        <v>2005.3333288000067</v>
      </c>
      <c r="D143" s="121">
        <v>38443</v>
      </c>
      <c r="E143" s="117">
        <v>662</v>
      </c>
      <c r="F143" s="117">
        <v>530</v>
      </c>
      <c r="G143" s="117">
        <v>911</v>
      </c>
      <c r="H143" s="117">
        <v>904</v>
      </c>
      <c r="I143" s="117">
        <v>134</v>
      </c>
      <c r="J143" s="272">
        <v>3363</v>
      </c>
      <c r="K143" s="272"/>
      <c r="L143" s="117">
        <v>291</v>
      </c>
      <c r="M143" s="117">
        <v>12394</v>
      </c>
      <c r="N143" s="117"/>
      <c r="O143" s="117"/>
      <c r="P143" s="117"/>
      <c r="Q143" s="117">
        <v>20</v>
      </c>
      <c r="R143" s="117"/>
      <c r="S143" s="117">
        <v>10271</v>
      </c>
      <c r="T143" s="117"/>
      <c r="U143" s="117">
        <v>19322</v>
      </c>
      <c r="V143" s="117"/>
      <c r="W143" s="117">
        <v>26808</v>
      </c>
      <c r="X143" s="117">
        <v>35775</v>
      </c>
      <c r="Y143" s="117"/>
      <c r="Z143" s="117"/>
      <c r="AA143" s="117">
        <v>398</v>
      </c>
      <c r="AB143" s="117">
        <v>0</v>
      </c>
      <c r="AC143" s="117">
        <v>3758</v>
      </c>
      <c r="AD143" s="117"/>
      <c r="AE143" s="117"/>
      <c r="AF143" s="117"/>
      <c r="AG143" s="117"/>
      <c r="AH143" s="117"/>
      <c r="AI143" s="117">
        <f>SUM(E143:AC143)-2</f>
        <v>115539</v>
      </c>
      <c r="AJ143" s="211">
        <v>111295</v>
      </c>
    </row>
    <row r="144" spans="3:38" x14ac:dyDescent="0.2">
      <c r="C144" s="146">
        <f t="shared" si="7"/>
        <v>2005.4166621000068</v>
      </c>
      <c r="D144" s="121">
        <v>38473</v>
      </c>
      <c r="E144" s="124">
        <v>737</v>
      </c>
      <c r="F144" s="124">
        <v>533</v>
      </c>
      <c r="G144" s="124">
        <v>925</v>
      </c>
      <c r="H144" s="124">
        <v>768</v>
      </c>
      <c r="I144" s="117">
        <v>120</v>
      </c>
      <c r="J144" s="272">
        <v>3416</v>
      </c>
      <c r="K144" s="272"/>
      <c r="L144" s="124">
        <v>293</v>
      </c>
      <c r="M144" s="117">
        <v>12480</v>
      </c>
      <c r="N144" s="124"/>
      <c r="O144" s="124"/>
      <c r="P144" s="124"/>
      <c r="Q144" s="124">
        <v>18</v>
      </c>
      <c r="R144" s="124"/>
      <c r="S144" s="117">
        <v>9308</v>
      </c>
      <c r="T144" s="117"/>
      <c r="U144" s="117">
        <v>18649</v>
      </c>
      <c r="V144" s="117"/>
      <c r="W144" s="117">
        <v>27215</v>
      </c>
      <c r="X144" s="117">
        <v>33062</v>
      </c>
      <c r="Y144" s="117"/>
      <c r="Z144" s="117"/>
      <c r="AA144" s="117">
        <v>279</v>
      </c>
      <c r="AB144" s="117">
        <v>0</v>
      </c>
      <c r="AC144" s="117">
        <v>3765</v>
      </c>
      <c r="AD144" s="117"/>
      <c r="AE144" s="117"/>
      <c r="AF144" s="117"/>
      <c r="AG144" s="117"/>
      <c r="AH144" s="117"/>
      <c r="AI144" s="117">
        <f t="shared" ref="AI144:AI150" si="14">SUM(E144:AC144)</f>
        <v>111568</v>
      </c>
      <c r="AJ144" s="211">
        <v>111295</v>
      </c>
    </row>
    <row r="145" spans="3:40" x14ac:dyDescent="0.2">
      <c r="C145" s="146">
        <f t="shared" si="7"/>
        <v>2005.4999954000068</v>
      </c>
      <c r="D145" s="121">
        <v>38504</v>
      </c>
      <c r="E145" s="124">
        <v>752</v>
      </c>
      <c r="F145" s="124">
        <v>561</v>
      </c>
      <c r="G145" s="124">
        <v>957</v>
      </c>
      <c r="H145" s="124">
        <v>786</v>
      </c>
      <c r="I145" s="124">
        <v>132</v>
      </c>
      <c r="J145" s="272">
        <v>3386</v>
      </c>
      <c r="K145" s="272"/>
      <c r="L145" s="124">
        <v>290</v>
      </c>
      <c r="M145" s="117">
        <v>12647</v>
      </c>
      <c r="N145" s="124"/>
      <c r="O145" s="124"/>
      <c r="P145" s="124"/>
      <c r="Q145" s="124">
        <v>21</v>
      </c>
      <c r="R145" s="124"/>
      <c r="S145" s="117">
        <v>11341</v>
      </c>
      <c r="T145" s="117"/>
      <c r="U145" s="117">
        <v>16371</v>
      </c>
      <c r="V145" s="117"/>
      <c r="W145" s="117">
        <v>28808</v>
      </c>
      <c r="X145" s="117">
        <v>36717</v>
      </c>
      <c r="Y145" s="117"/>
      <c r="Z145" s="117"/>
      <c r="AA145" s="117">
        <v>457</v>
      </c>
      <c r="AB145" s="117">
        <v>0</v>
      </c>
      <c r="AC145" s="117">
        <v>3508</v>
      </c>
      <c r="AD145" s="117"/>
      <c r="AE145" s="117"/>
      <c r="AF145" s="117"/>
      <c r="AG145" s="117"/>
      <c r="AH145" s="117"/>
      <c r="AI145" s="117">
        <f t="shared" si="14"/>
        <v>116734</v>
      </c>
      <c r="AJ145" s="211">
        <v>111295</v>
      </c>
    </row>
    <row r="146" spans="3:40" x14ac:dyDescent="0.2">
      <c r="C146" s="146">
        <f t="shared" si="7"/>
        <v>2005.5833287000069</v>
      </c>
      <c r="D146" s="121">
        <v>38534</v>
      </c>
      <c r="E146" s="117">
        <v>759</v>
      </c>
      <c r="F146" s="117">
        <v>553</v>
      </c>
      <c r="G146" s="117">
        <v>894</v>
      </c>
      <c r="H146" s="117">
        <v>953</v>
      </c>
      <c r="I146" s="117">
        <v>135</v>
      </c>
      <c r="J146" s="272">
        <v>3353</v>
      </c>
      <c r="K146" s="272"/>
      <c r="L146" s="117">
        <v>287</v>
      </c>
      <c r="M146" s="117">
        <v>12897</v>
      </c>
      <c r="N146" s="124"/>
      <c r="O146" s="124"/>
      <c r="P146" s="124"/>
      <c r="Q146" s="117">
        <v>17</v>
      </c>
      <c r="R146" s="117"/>
      <c r="S146" s="117">
        <v>10944</v>
      </c>
      <c r="T146" s="117"/>
      <c r="U146" s="117">
        <v>15750</v>
      </c>
      <c r="V146" s="117"/>
      <c r="W146" s="117">
        <v>28817</v>
      </c>
      <c r="X146" s="117">
        <v>37013</v>
      </c>
      <c r="Y146" s="117"/>
      <c r="Z146" s="117"/>
      <c r="AA146" s="117">
        <v>316</v>
      </c>
      <c r="AB146" s="117">
        <v>0</v>
      </c>
      <c r="AC146" s="117">
        <v>3714</v>
      </c>
      <c r="AD146" s="117"/>
      <c r="AE146" s="117"/>
      <c r="AF146" s="117"/>
      <c r="AG146" s="117"/>
      <c r="AH146" s="117"/>
      <c r="AI146" s="117">
        <f t="shared" si="14"/>
        <v>116402</v>
      </c>
      <c r="AJ146" s="211">
        <v>111295</v>
      </c>
      <c r="AK146" s="104" t="s">
        <v>46</v>
      </c>
      <c r="AM146" s="104" t="e">
        <f>SUM(#REF!)</f>
        <v>#REF!</v>
      </c>
      <c r="AN146" s="106" t="e">
        <f>+AM146/12</f>
        <v>#REF!</v>
      </c>
    </row>
    <row r="147" spans="3:40" x14ac:dyDescent="0.2">
      <c r="C147" s="146">
        <f>+C146+0.0833333</f>
        <v>2005.6666620000069</v>
      </c>
      <c r="D147" s="121">
        <v>38565</v>
      </c>
      <c r="E147" s="117">
        <v>766</v>
      </c>
      <c r="F147" s="117">
        <v>567</v>
      </c>
      <c r="G147" s="117">
        <v>846</v>
      </c>
      <c r="H147" s="117">
        <v>814</v>
      </c>
      <c r="I147" s="117">
        <v>156</v>
      </c>
      <c r="J147" s="272">
        <v>3355</v>
      </c>
      <c r="K147" s="272"/>
      <c r="L147" s="117">
        <v>285</v>
      </c>
      <c r="M147" s="117">
        <v>12782</v>
      </c>
      <c r="N147" s="117"/>
      <c r="O147" s="117"/>
      <c r="P147" s="117"/>
      <c r="Q147" s="117">
        <v>18</v>
      </c>
      <c r="R147" s="117"/>
      <c r="S147" s="117">
        <v>11147</v>
      </c>
      <c r="T147" s="117"/>
      <c r="U147" s="117">
        <v>17284</v>
      </c>
      <c r="V147" s="117"/>
      <c r="W147" s="117">
        <v>28337</v>
      </c>
      <c r="X147" s="117">
        <v>34277</v>
      </c>
      <c r="Y147" s="117"/>
      <c r="Z147" s="117"/>
      <c r="AA147" s="117">
        <v>474</v>
      </c>
      <c r="AB147" s="117">
        <v>0</v>
      </c>
      <c r="AC147" s="117">
        <v>3643</v>
      </c>
      <c r="AD147" s="117"/>
      <c r="AE147" s="117"/>
      <c r="AF147" s="117"/>
      <c r="AG147" s="117"/>
      <c r="AH147" s="117"/>
      <c r="AI147" s="117">
        <f t="shared" si="14"/>
        <v>114751</v>
      </c>
      <c r="AJ147" s="211">
        <v>111295</v>
      </c>
    </row>
    <row r="148" spans="3:40" x14ac:dyDescent="0.2">
      <c r="C148" s="146">
        <f>+C147+0.0833333</f>
        <v>2005.749995300007</v>
      </c>
      <c r="D148" s="121">
        <v>38596</v>
      </c>
      <c r="E148" s="117">
        <v>762</v>
      </c>
      <c r="F148" s="117">
        <v>570</v>
      </c>
      <c r="G148" s="117">
        <v>813</v>
      </c>
      <c r="H148" s="117">
        <v>892</v>
      </c>
      <c r="I148" s="117">
        <v>149</v>
      </c>
      <c r="J148" s="272">
        <v>3402</v>
      </c>
      <c r="K148" s="272"/>
      <c r="L148" s="117">
        <v>283</v>
      </c>
      <c r="M148" s="117">
        <v>12690</v>
      </c>
      <c r="N148" s="124"/>
      <c r="O148" s="117">
        <v>7</v>
      </c>
      <c r="P148" s="124"/>
      <c r="Q148" s="117">
        <v>20</v>
      </c>
      <c r="R148" s="117"/>
      <c r="S148" s="117">
        <v>11185</v>
      </c>
      <c r="T148" s="117"/>
      <c r="U148" s="117">
        <v>16207</v>
      </c>
      <c r="V148" s="117"/>
      <c r="W148" s="117">
        <v>28797</v>
      </c>
      <c r="X148" s="117">
        <v>24688</v>
      </c>
      <c r="Y148" s="117"/>
      <c r="Z148" s="117"/>
      <c r="AA148" s="117">
        <v>407</v>
      </c>
      <c r="AB148" s="117">
        <v>0</v>
      </c>
      <c r="AC148" s="117">
        <v>3664</v>
      </c>
      <c r="AD148" s="117"/>
      <c r="AE148" s="117"/>
      <c r="AF148" s="117"/>
      <c r="AG148" s="117"/>
      <c r="AH148" s="117"/>
      <c r="AI148" s="117">
        <f t="shared" si="14"/>
        <v>104536</v>
      </c>
      <c r="AJ148" s="211">
        <v>111295</v>
      </c>
    </row>
    <row r="149" spans="3:40" x14ac:dyDescent="0.2">
      <c r="C149" s="146">
        <f>+C148+0.0833333</f>
        <v>2005.833328600007</v>
      </c>
      <c r="D149" s="121">
        <v>38626</v>
      </c>
      <c r="E149" s="117">
        <v>779</v>
      </c>
      <c r="F149" s="117">
        <v>566</v>
      </c>
      <c r="G149" s="117">
        <v>775</v>
      </c>
      <c r="H149" s="117">
        <v>833</v>
      </c>
      <c r="I149" s="117">
        <v>139</v>
      </c>
      <c r="J149" s="272">
        <v>3320</v>
      </c>
      <c r="K149" s="272"/>
      <c r="L149" s="117">
        <v>281</v>
      </c>
      <c r="M149" s="117">
        <v>12724</v>
      </c>
      <c r="N149" s="124"/>
      <c r="O149" s="117">
        <v>4</v>
      </c>
      <c r="P149" s="124"/>
      <c r="Q149" s="117">
        <v>21</v>
      </c>
      <c r="R149" s="117"/>
      <c r="S149" s="117">
        <v>11701</v>
      </c>
      <c r="T149" s="117"/>
      <c r="U149" s="117">
        <v>17263</v>
      </c>
      <c r="V149" s="117"/>
      <c r="W149" s="117">
        <v>27009</v>
      </c>
      <c r="X149" s="117">
        <v>32707</v>
      </c>
      <c r="Y149" s="117"/>
      <c r="Z149" s="117"/>
      <c r="AA149" s="117">
        <v>452</v>
      </c>
      <c r="AB149" s="117">
        <v>0</v>
      </c>
      <c r="AC149" s="117">
        <v>3607</v>
      </c>
      <c r="AD149" s="117"/>
      <c r="AE149" s="117"/>
      <c r="AF149" s="117"/>
      <c r="AG149" s="117"/>
      <c r="AH149" s="117"/>
      <c r="AI149" s="117">
        <f t="shared" si="14"/>
        <v>112181</v>
      </c>
      <c r="AJ149" s="211">
        <v>111295</v>
      </c>
    </row>
    <row r="150" spans="3:40" x14ac:dyDescent="0.2">
      <c r="C150" s="146">
        <f>+C149+0.0833333</f>
        <v>2005.9166619000071</v>
      </c>
      <c r="D150" s="121">
        <v>38657</v>
      </c>
      <c r="E150" s="117">
        <v>807</v>
      </c>
      <c r="F150" s="117">
        <v>581</v>
      </c>
      <c r="G150" s="117">
        <v>787</v>
      </c>
      <c r="H150" s="117">
        <v>801</v>
      </c>
      <c r="I150" s="117">
        <v>137</v>
      </c>
      <c r="J150" s="272">
        <v>3087</v>
      </c>
      <c r="K150" s="275"/>
      <c r="L150" s="117">
        <v>285</v>
      </c>
      <c r="M150" s="117">
        <v>12885</v>
      </c>
      <c r="N150" s="124"/>
      <c r="O150" s="117">
        <v>7</v>
      </c>
      <c r="P150" s="124"/>
      <c r="Q150" s="117">
        <v>21</v>
      </c>
      <c r="R150" s="117"/>
      <c r="S150" s="117">
        <v>11305</v>
      </c>
      <c r="T150" s="117"/>
      <c r="U150" s="117">
        <v>16965</v>
      </c>
      <c r="V150" s="117"/>
      <c r="W150" s="117">
        <v>27360</v>
      </c>
      <c r="X150" s="117">
        <v>25103</v>
      </c>
      <c r="Y150" s="117"/>
      <c r="Z150" s="117"/>
      <c r="AA150" s="117">
        <v>404</v>
      </c>
      <c r="AB150" s="117">
        <v>0</v>
      </c>
      <c r="AC150" s="117">
        <v>3577</v>
      </c>
      <c r="AD150" s="117"/>
      <c r="AE150" s="117"/>
      <c r="AF150" s="117"/>
      <c r="AG150" s="117"/>
      <c r="AH150" s="117"/>
      <c r="AI150" s="117">
        <f t="shared" si="14"/>
        <v>104112</v>
      </c>
      <c r="AJ150" s="211">
        <v>111295</v>
      </c>
    </row>
    <row r="151" spans="3:40" x14ac:dyDescent="0.2">
      <c r="C151" s="146">
        <f>+C150+0.0833333</f>
        <v>2005.9999952000071</v>
      </c>
      <c r="D151" s="121">
        <v>38687</v>
      </c>
      <c r="E151" s="117">
        <v>808</v>
      </c>
      <c r="F151" s="117">
        <v>588</v>
      </c>
      <c r="G151" s="117">
        <v>841</v>
      </c>
      <c r="H151" s="117">
        <v>831</v>
      </c>
      <c r="I151" s="117">
        <v>132</v>
      </c>
      <c r="J151" s="272">
        <v>3053</v>
      </c>
      <c r="K151" s="275"/>
      <c r="L151" s="117">
        <v>278</v>
      </c>
      <c r="M151" s="117">
        <v>12846</v>
      </c>
      <c r="N151" s="124"/>
      <c r="O151" s="117">
        <v>13</v>
      </c>
      <c r="P151" s="124"/>
      <c r="Q151" s="117">
        <v>19</v>
      </c>
      <c r="R151" s="117"/>
      <c r="S151" s="117">
        <v>11212</v>
      </c>
      <c r="T151" s="117"/>
      <c r="U151" s="117">
        <v>16978</v>
      </c>
      <c r="V151" s="117"/>
      <c r="W151" s="117">
        <v>26308</v>
      </c>
      <c r="X151" s="117">
        <v>28682</v>
      </c>
      <c r="Y151" s="117"/>
      <c r="Z151" s="117"/>
      <c r="AA151" s="117">
        <v>509</v>
      </c>
      <c r="AB151" s="117">
        <v>0</v>
      </c>
      <c r="AC151" s="117">
        <v>3590</v>
      </c>
      <c r="AD151" s="117"/>
      <c r="AE151" s="117"/>
      <c r="AF151" s="117"/>
      <c r="AG151" s="117"/>
      <c r="AH151" s="117"/>
      <c r="AI151" s="120">
        <f t="shared" ref="AI151:AI210" si="15">SUM(E151:AC151)</f>
        <v>106688</v>
      </c>
      <c r="AJ151" s="211">
        <v>111295</v>
      </c>
    </row>
    <row r="152" spans="3:40" x14ac:dyDescent="0.2">
      <c r="C152" s="146">
        <f t="shared" ref="C152:C187" si="16">+C151+0.0833333</f>
        <v>2006.0833285000072</v>
      </c>
      <c r="D152" s="121">
        <v>38718</v>
      </c>
      <c r="E152" s="117">
        <v>790.32</v>
      </c>
      <c r="F152" s="117">
        <v>599.93499999999995</v>
      </c>
      <c r="G152" s="117">
        <v>893.38699999999994</v>
      </c>
      <c r="H152" s="117">
        <v>771.38699999999994</v>
      </c>
      <c r="I152" s="117">
        <v>130.83870970000001</v>
      </c>
      <c r="J152" s="272">
        <v>3163.19</v>
      </c>
      <c r="K152" s="272"/>
      <c r="L152" s="117">
        <v>283.548</v>
      </c>
      <c r="M152" s="117">
        <v>12448.709150000001</v>
      </c>
      <c r="N152" s="124"/>
      <c r="O152" s="117">
        <v>1.419</v>
      </c>
      <c r="P152" s="124"/>
      <c r="Q152" s="117">
        <v>19.354800000000001</v>
      </c>
      <c r="R152" s="117"/>
      <c r="S152" s="117">
        <v>11262.2258</v>
      </c>
      <c r="T152" s="117"/>
      <c r="U152" s="117">
        <v>15956.16129</v>
      </c>
      <c r="V152" s="117"/>
      <c r="W152" s="117">
        <v>27151.194</v>
      </c>
      <c r="X152" s="117">
        <v>35393.25</v>
      </c>
      <c r="Y152" s="117"/>
      <c r="Z152" s="117"/>
      <c r="AA152" s="117">
        <v>543.51599999999996</v>
      </c>
      <c r="AB152" s="117">
        <v>0</v>
      </c>
      <c r="AC152" s="117">
        <v>3521.3229999999999</v>
      </c>
      <c r="AD152" s="117"/>
      <c r="AE152" s="117"/>
      <c r="AF152" s="117"/>
      <c r="AG152" s="117"/>
      <c r="AH152" s="117"/>
      <c r="AI152" s="120">
        <f t="shared" si="15"/>
        <v>112929.75874970001</v>
      </c>
      <c r="AJ152" s="211">
        <v>115581</v>
      </c>
    </row>
    <row r="153" spans="3:40" x14ac:dyDescent="0.2">
      <c r="C153" s="146">
        <f t="shared" si="16"/>
        <v>2006.1666618000072</v>
      </c>
      <c r="D153" s="121">
        <v>38749</v>
      </c>
      <c r="E153" s="117">
        <v>823</v>
      </c>
      <c r="F153" s="117">
        <v>570</v>
      </c>
      <c r="G153" s="117">
        <v>1072</v>
      </c>
      <c r="H153" s="117">
        <v>851</v>
      </c>
      <c r="I153" s="117">
        <v>143</v>
      </c>
      <c r="J153" s="275">
        <v>3199</v>
      </c>
      <c r="K153" s="275"/>
      <c r="L153" s="117">
        <v>281</v>
      </c>
      <c r="M153" s="117">
        <v>12513</v>
      </c>
      <c r="N153" s="124"/>
      <c r="O153" s="117">
        <v>2</v>
      </c>
      <c r="P153" s="124"/>
      <c r="Q153" s="117">
        <v>20</v>
      </c>
      <c r="R153" s="117"/>
      <c r="S153" s="117">
        <v>11186</v>
      </c>
      <c r="T153" s="117"/>
      <c r="U153" s="117">
        <v>16768</v>
      </c>
      <c r="V153" s="117"/>
      <c r="W153" s="117">
        <v>27388</v>
      </c>
      <c r="X153" s="117">
        <v>35737</v>
      </c>
      <c r="Y153" s="117"/>
      <c r="Z153" s="117"/>
      <c r="AA153" s="117">
        <v>455</v>
      </c>
      <c r="AB153" s="117">
        <v>0</v>
      </c>
      <c r="AC153" s="117">
        <v>3517</v>
      </c>
      <c r="AD153" s="117"/>
      <c r="AE153" s="117"/>
      <c r="AF153" s="117"/>
      <c r="AG153" s="117"/>
      <c r="AH153" s="117"/>
      <c r="AI153" s="120">
        <f t="shared" si="15"/>
        <v>114525</v>
      </c>
      <c r="AJ153" s="211">
        <f>+AJ152</f>
        <v>115581</v>
      </c>
    </row>
    <row r="154" spans="3:40" x14ac:dyDescent="0.2">
      <c r="C154" s="146">
        <f t="shared" si="16"/>
        <v>2006.2499951000073</v>
      </c>
      <c r="D154" s="121">
        <v>38777</v>
      </c>
      <c r="E154" s="117">
        <v>825</v>
      </c>
      <c r="F154" s="117">
        <v>566</v>
      </c>
      <c r="G154" s="117">
        <v>907</v>
      </c>
      <c r="H154" s="117">
        <v>980</v>
      </c>
      <c r="I154" s="117">
        <v>117</v>
      </c>
      <c r="J154" s="275">
        <v>3167</v>
      </c>
      <c r="K154" s="275"/>
      <c r="L154" s="117">
        <v>276</v>
      </c>
      <c r="M154" s="117">
        <v>12650</v>
      </c>
      <c r="N154" s="124"/>
      <c r="O154" s="117">
        <v>3</v>
      </c>
      <c r="P154" s="124"/>
      <c r="Q154" s="117">
        <v>19</v>
      </c>
      <c r="R154" s="117"/>
      <c r="S154" s="117">
        <v>11634</v>
      </c>
      <c r="T154" s="117"/>
      <c r="U154" s="117">
        <v>17449</v>
      </c>
      <c r="V154" s="117"/>
      <c r="W154" s="117">
        <v>27166</v>
      </c>
      <c r="X154" s="117">
        <v>20198</v>
      </c>
      <c r="Y154" s="117"/>
      <c r="Z154" s="117"/>
      <c r="AA154" s="117">
        <v>443</v>
      </c>
      <c r="AB154" s="117">
        <v>0</v>
      </c>
      <c r="AC154" s="117">
        <v>3458</v>
      </c>
      <c r="AD154" s="117"/>
      <c r="AE154" s="117"/>
      <c r="AF154" s="117"/>
      <c r="AG154" s="117"/>
      <c r="AH154" s="117"/>
      <c r="AI154" s="117">
        <f t="shared" si="15"/>
        <v>99858</v>
      </c>
      <c r="AJ154" s="211">
        <f t="shared" ref="AJ154:AJ162" si="17">+AJ153</f>
        <v>115581</v>
      </c>
    </row>
    <row r="155" spans="3:40" x14ac:dyDescent="0.2">
      <c r="C155" s="146">
        <f t="shared" si="16"/>
        <v>2006.3333284000073</v>
      </c>
      <c r="D155" s="121">
        <v>38808</v>
      </c>
      <c r="E155" s="117">
        <v>775</v>
      </c>
      <c r="F155" s="117">
        <v>565</v>
      </c>
      <c r="G155" s="117">
        <v>972</v>
      </c>
      <c r="H155" s="117">
        <v>1261</v>
      </c>
      <c r="I155" s="117">
        <v>131</v>
      </c>
      <c r="J155" s="275">
        <v>3182</v>
      </c>
      <c r="K155" s="275"/>
      <c r="L155" s="117">
        <v>274</v>
      </c>
      <c r="M155" s="117">
        <v>12783</v>
      </c>
      <c r="N155" s="124"/>
      <c r="O155" s="117">
        <v>2</v>
      </c>
      <c r="P155" s="124"/>
      <c r="Q155" s="117">
        <v>19</v>
      </c>
      <c r="R155" s="117"/>
      <c r="S155" s="117">
        <v>11937</v>
      </c>
      <c r="T155" s="117"/>
      <c r="U155" s="117">
        <v>17319</v>
      </c>
      <c r="V155" s="117"/>
      <c r="W155" s="117">
        <v>27446</v>
      </c>
      <c r="X155" s="117">
        <v>36324</v>
      </c>
      <c r="Y155" s="117"/>
      <c r="Z155" s="117"/>
      <c r="AA155" s="117">
        <v>406</v>
      </c>
      <c r="AB155" s="117">
        <v>0</v>
      </c>
      <c r="AC155" s="117">
        <v>3153</v>
      </c>
      <c r="AD155" s="117"/>
      <c r="AE155" s="117"/>
      <c r="AF155" s="117"/>
      <c r="AG155" s="117"/>
      <c r="AH155" s="117"/>
      <c r="AI155" s="117">
        <f t="shared" si="15"/>
        <v>116549</v>
      </c>
      <c r="AJ155" s="211">
        <f t="shared" si="17"/>
        <v>115581</v>
      </c>
    </row>
    <row r="156" spans="3:40" x14ac:dyDescent="0.2">
      <c r="C156" s="146">
        <f t="shared" si="16"/>
        <v>2006.4166617000074</v>
      </c>
      <c r="D156" s="121">
        <v>38838</v>
      </c>
      <c r="E156" s="117">
        <v>796</v>
      </c>
      <c r="F156" s="117">
        <v>560</v>
      </c>
      <c r="G156" s="117">
        <v>831</v>
      </c>
      <c r="H156" s="117">
        <v>1340</v>
      </c>
      <c r="I156" s="117">
        <v>127</v>
      </c>
      <c r="J156" s="272">
        <v>3146</v>
      </c>
      <c r="K156" s="272"/>
      <c r="L156" s="117">
        <v>236</v>
      </c>
      <c r="M156" s="117">
        <v>12930</v>
      </c>
      <c r="N156" s="124"/>
      <c r="O156" s="117">
        <v>0</v>
      </c>
      <c r="P156" s="124"/>
      <c r="Q156" s="117">
        <v>19</v>
      </c>
      <c r="R156" s="117"/>
      <c r="S156" s="117">
        <v>11684</v>
      </c>
      <c r="T156" s="117"/>
      <c r="U156" s="117">
        <v>17145</v>
      </c>
      <c r="V156" s="117"/>
      <c r="W156" s="117">
        <v>27615</v>
      </c>
      <c r="X156" s="117">
        <v>35385</v>
      </c>
      <c r="Y156" s="117"/>
      <c r="Z156" s="117"/>
      <c r="AA156" s="117">
        <v>564</v>
      </c>
      <c r="AB156" s="117">
        <v>0</v>
      </c>
      <c r="AC156" s="117">
        <v>3412</v>
      </c>
      <c r="AD156" s="117"/>
      <c r="AE156" s="117"/>
      <c r="AF156" s="117"/>
      <c r="AG156" s="117"/>
      <c r="AH156" s="117"/>
      <c r="AI156" s="117">
        <f t="shared" si="15"/>
        <v>115790</v>
      </c>
      <c r="AJ156" s="211">
        <f t="shared" si="17"/>
        <v>115581</v>
      </c>
    </row>
    <row r="157" spans="3:40" x14ac:dyDescent="0.2">
      <c r="C157" s="146">
        <f t="shared" si="16"/>
        <v>2006.4999950000074</v>
      </c>
      <c r="D157" s="121">
        <v>38869</v>
      </c>
      <c r="E157" s="117">
        <v>775</v>
      </c>
      <c r="F157" s="117">
        <v>557</v>
      </c>
      <c r="G157" s="117">
        <v>1038</v>
      </c>
      <c r="H157" s="117">
        <v>1264</v>
      </c>
      <c r="I157" s="117">
        <v>129</v>
      </c>
      <c r="J157" s="272">
        <v>3103</v>
      </c>
      <c r="K157" s="272"/>
      <c r="L157" s="117">
        <v>272</v>
      </c>
      <c r="M157" s="117">
        <v>13066</v>
      </c>
      <c r="N157" s="124"/>
      <c r="O157" s="117">
        <v>0</v>
      </c>
      <c r="P157" s="124"/>
      <c r="Q157" s="117">
        <v>20</v>
      </c>
      <c r="R157" s="117"/>
      <c r="S157" s="117">
        <v>13032</v>
      </c>
      <c r="T157" s="117"/>
      <c r="U157" s="117">
        <v>16964</v>
      </c>
      <c r="V157" s="117"/>
      <c r="W157" s="117">
        <v>30237</v>
      </c>
      <c r="X157" s="117">
        <v>35383</v>
      </c>
      <c r="Y157" s="117"/>
      <c r="Z157" s="117"/>
      <c r="AA157" s="117">
        <v>474</v>
      </c>
      <c r="AB157" s="117">
        <v>0</v>
      </c>
      <c r="AC157" s="117">
        <v>3382</v>
      </c>
      <c r="AD157" s="117"/>
      <c r="AE157" s="117"/>
      <c r="AF157" s="117"/>
      <c r="AG157" s="117"/>
      <c r="AH157" s="117"/>
      <c r="AI157" s="117">
        <f t="shared" si="15"/>
        <v>119696</v>
      </c>
      <c r="AJ157" s="211">
        <f t="shared" si="17"/>
        <v>115581</v>
      </c>
    </row>
    <row r="158" spans="3:40" x14ac:dyDescent="0.2">
      <c r="C158" s="146">
        <f t="shared" si="16"/>
        <v>2006.5833283000075</v>
      </c>
      <c r="D158" s="121">
        <v>38899</v>
      </c>
      <c r="E158" s="117">
        <v>772.74193548387098</v>
      </c>
      <c r="F158" s="117">
        <v>574.93548387096769</v>
      </c>
      <c r="G158" s="117">
        <v>922.58064516129036</v>
      </c>
      <c r="H158" s="117">
        <v>1214.0645161290322</v>
      </c>
      <c r="I158" s="117">
        <v>131.16129032258064</v>
      </c>
      <c r="J158" s="272">
        <v>3059.6451612903224</v>
      </c>
      <c r="K158" s="272"/>
      <c r="L158" s="117">
        <v>288.48387096774195</v>
      </c>
      <c r="M158" s="117">
        <v>12927.322580645161</v>
      </c>
      <c r="N158" s="117"/>
      <c r="O158" s="125">
        <v>0</v>
      </c>
      <c r="P158" s="125"/>
      <c r="Q158" s="117">
        <v>19.06451612903226</v>
      </c>
      <c r="R158" s="117"/>
      <c r="S158" s="117">
        <v>14055.387096774193</v>
      </c>
      <c r="T158" s="117"/>
      <c r="U158" s="117">
        <v>16251.741935483871</v>
      </c>
      <c r="V158" s="117"/>
      <c r="W158" s="117">
        <v>30440.451612903227</v>
      </c>
      <c r="X158" s="117">
        <v>37268.93548387097</v>
      </c>
      <c r="Y158" s="117"/>
      <c r="Z158" s="117"/>
      <c r="AA158" s="117">
        <v>429.25806451612902</v>
      </c>
      <c r="AB158" s="117">
        <v>0</v>
      </c>
      <c r="AC158" s="117">
        <v>3348.4516129032259</v>
      </c>
      <c r="AD158" s="117"/>
      <c r="AE158" s="117"/>
      <c r="AF158" s="117"/>
      <c r="AG158" s="117"/>
      <c r="AH158" s="117"/>
      <c r="AI158" s="117">
        <f t="shared" si="15"/>
        <v>121704.22580645164</v>
      </c>
      <c r="AJ158" s="211">
        <f t="shared" si="17"/>
        <v>115581</v>
      </c>
    </row>
    <row r="159" spans="3:40" x14ac:dyDescent="0.2">
      <c r="C159" s="146">
        <f t="shared" si="16"/>
        <v>2006.6666616000075</v>
      </c>
      <c r="D159" s="121">
        <v>38930</v>
      </c>
      <c r="E159" s="117">
        <v>778.06451612903231</v>
      </c>
      <c r="F159" s="117">
        <v>586.83870967741939</v>
      </c>
      <c r="G159" s="117">
        <v>905.29032258064512</v>
      </c>
      <c r="H159" s="117">
        <f>34130/31</f>
        <v>1100.9677419354839</v>
      </c>
      <c r="I159" s="117">
        <v>136.87096774193549</v>
      </c>
      <c r="J159" s="274">
        <f>93766/31</f>
        <v>3024.7096774193546</v>
      </c>
      <c r="K159" s="274"/>
      <c r="L159" s="117">
        <v>289.58064516129031</v>
      </c>
      <c r="M159" s="117">
        <f>403648/31</f>
        <v>13020.903225806451</v>
      </c>
      <c r="N159" s="124"/>
      <c r="O159" s="117">
        <v>5.161290322580645</v>
      </c>
      <c r="P159" s="124"/>
      <c r="Q159" s="117">
        <v>19.161290322580644</v>
      </c>
      <c r="R159" s="117"/>
      <c r="S159" s="117">
        <f>457216/31</f>
        <v>14748.903225806451</v>
      </c>
      <c r="T159" s="117"/>
      <c r="U159" s="117">
        <f>553005/31</f>
        <v>17838.870967741936</v>
      </c>
      <c r="V159" s="117"/>
      <c r="W159" s="117">
        <f>917346/31</f>
        <v>29591.806451612902</v>
      </c>
      <c r="X159" s="117">
        <f>1134623/31</f>
        <v>36600.741935483871</v>
      </c>
      <c r="Y159" s="117"/>
      <c r="Z159" s="117"/>
      <c r="AA159" s="117">
        <v>235.64516129032259</v>
      </c>
      <c r="AB159" s="117">
        <v>0</v>
      </c>
      <c r="AC159" s="117">
        <f>102659/31</f>
        <v>3311.5806451612902</v>
      </c>
      <c r="AD159" s="117"/>
      <c r="AE159" s="117"/>
      <c r="AF159" s="117"/>
      <c r="AG159" s="117"/>
      <c r="AH159" s="117"/>
      <c r="AI159" s="117">
        <f t="shared" si="15"/>
        <v>122195.09677419355</v>
      </c>
      <c r="AJ159" s="211">
        <f t="shared" si="17"/>
        <v>115581</v>
      </c>
    </row>
    <row r="160" spans="3:40" x14ac:dyDescent="0.2">
      <c r="C160" s="146">
        <f t="shared" si="16"/>
        <v>2006.7499949000076</v>
      </c>
      <c r="D160" s="121">
        <v>38961</v>
      </c>
      <c r="E160" s="117">
        <v>786</v>
      </c>
      <c r="F160" s="117">
        <v>595</v>
      </c>
      <c r="G160" s="117">
        <v>861</v>
      </c>
      <c r="H160" s="117">
        <v>1051</v>
      </c>
      <c r="I160" s="117">
        <v>143</v>
      </c>
      <c r="J160" s="275">
        <v>2984</v>
      </c>
      <c r="K160" s="275"/>
      <c r="L160" s="117">
        <v>277</v>
      </c>
      <c r="M160" s="117">
        <v>12519</v>
      </c>
      <c r="N160" s="124"/>
      <c r="O160" s="117">
        <v>0</v>
      </c>
      <c r="P160" s="124"/>
      <c r="Q160" s="117">
        <v>18</v>
      </c>
      <c r="R160" s="117"/>
      <c r="S160" s="117">
        <v>13099</v>
      </c>
      <c r="T160" s="117"/>
      <c r="U160" s="117">
        <v>16724</v>
      </c>
      <c r="V160" s="117"/>
      <c r="W160" s="117">
        <v>28027</v>
      </c>
      <c r="X160" s="117">
        <v>36800</v>
      </c>
      <c r="Y160" s="117"/>
      <c r="Z160" s="117"/>
      <c r="AA160" s="117">
        <v>578</v>
      </c>
      <c r="AB160" s="117">
        <v>0</v>
      </c>
      <c r="AC160" s="117">
        <v>3269</v>
      </c>
      <c r="AD160" s="117"/>
      <c r="AE160" s="117"/>
      <c r="AF160" s="117"/>
      <c r="AG160" s="117"/>
      <c r="AH160" s="117"/>
      <c r="AI160" s="117">
        <f t="shared" si="15"/>
        <v>117731</v>
      </c>
      <c r="AJ160" s="211">
        <f t="shared" si="17"/>
        <v>115581</v>
      </c>
      <c r="AM160" s="104">
        <f>+AI150*31</f>
        <v>3227472</v>
      </c>
    </row>
    <row r="161" spans="3:36" x14ac:dyDescent="0.2">
      <c r="C161" s="146">
        <f t="shared" si="16"/>
        <v>2006.8333282000076</v>
      </c>
      <c r="D161" s="121">
        <v>38991</v>
      </c>
      <c r="E161" s="117">
        <v>698</v>
      </c>
      <c r="F161" s="117">
        <v>576</v>
      </c>
      <c r="G161" s="117">
        <v>832</v>
      </c>
      <c r="H161" s="117">
        <v>1087</v>
      </c>
      <c r="I161" s="117">
        <v>131</v>
      </c>
      <c r="J161" s="272">
        <v>3008</v>
      </c>
      <c r="K161" s="272"/>
      <c r="L161" s="117">
        <v>291</v>
      </c>
      <c r="M161" s="117">
        <v>12827</v>
      </c>
      <c r="N161" s="124"/>
      <c r="O161" s="117">
        <v>0</v>
      </c>
      <c r="P161" s="124"/>
      <c r="Q161" s="117">
        <v>20</v>
      </c>
      <c r="R161" s="117"/>
      <c r="S161" s="117">
        <v>12570</v>
      </c>
      <c r="T161" s="117"/>
      <c r="U161" s="117">
        <v>13259</v>
      </c>
      <c r="V161" s="117"/>
      <c r="W161" s="117">
        <v>21132</v>
      </c>
      <c r="X161" s="117">
        <v>36830</v>
      </c>
      <c r="Y161" s="117"/>
      <c r="Z161" s="117"/>
      <c r="AA161" s="117">
        <v>424</v>
      </c>
      <c r="AB161" s="117">
        <v>0</v>
      </c>
      <c r="AC161" s="117">
        <v>2932</v>
      </c>
      <c r="AD161" s="117"/>
      <c r="AE161" s="117"/>
      <c r="AF161" s="117"/>
      <c r="AG161" s="117"/>
      <c r="AH161" s="117"/>
      <c r="AI161" s="117">
        <f t="shared" si="15"/>
        <v>106617</v>
      </c>
      <c r="AJ161" s="211">
        <f t="shared" si="17"/>
        <v>115581</v>
      </c>
    </row>
    <row r="162" spans="3:36" x14ac:dyDescent="0.2">
      <c r="C162" s="146">
        <f t="shared" si="16"/>
        <v>2006.9166615000076</v>
      </c>
      <c r="D162" s="121">
        <v>39022</v>
      </c>
      <c r="E162" s="117">
        <v>741</v>
      </c>
      <c r="F162" s="117">
        <v>575</v>
      </c>
      <c r="G162" s="117">
        <v>879</v>
      </c>
      <c r="H162" s="117">
        <v>1325</v>
      </c>
      <c r="I162" s="117">
        <v>118</v>
      </c>
      <c r="J162" s="275">
        <v>2909</v>
      </c>
      <c r="K162" s="275"/>
      <c r="L162" s="117">
        <v>286</v>
      </c>
      <c r="M162" s="117">
        <v>12533</v>
      </c>
      <c r="N162" s="124"/>
      <c r="O162" s="117">
        <v>0</v>
      </c>
      <c r="P162" s="124"/>
      <c r="Q162" s="117">
        <v>19</v>
      </c>
      <c r="R162" s="117"/>
      <c r="S162" s="117">
        <v>12172</v>
      </c>
      <c r="T162" s="117"/>
      <c r="U162" s="117">
        <v>18512</v>
      </c>
      <c r="V162" s="117"/>
      <c r="W162" s="117">
        <v>30093</v>
      </c>
      <c r="X162" s="117">
        <v>36044</v>
      </c>
      <c r="Y162" s="117"/>
      <c r="Z162" s="117"/>
      <c r="AA162" s="117">
        <v>660</v>
      </c>
      <c r="AB162" s="117">
        <v>0</v>
      </c>
      <c r="AC162" s="117">
        <v>3398</v>
      </c>
      <c r="AD162" s="117"/>
      <c r="AE162" s="117"/>
      <c r="AF162" s="117"/>
      <c r="AG162" s="117"/>
      <c r="AH162" s="117"/>
      <c r="AI162" s="117">
        <f t="shared" si="15"/>
        <v>120264</v>
      </c>
      <c r="AJ162" s="211">
        <f t="shared" si="17"/>
        <v>115581</v>
      </c>
    </row>
    <row r="163" spans="3:36" x14ac:dyDescent="0.2">
      <c r="C163" s="146">
        <f t="shared" si="16"/>
        <v>2006.9999948000077</v>
      </c>
      <c r="D163" s="121">
        <v>39052</v>
      </c>
      <c r="E163" s="117">
        <v>745</v>
      </c>
      <c r="F163" s="117">
        <v>562</v>
      </c>
      <c r="G163" s="117">
        <v>856</v>
      </c>
      <c r="H163" s="117">
        <v>1352</v>
      </c>
      <c r="I163" s="117">
        <v>112</v>
      </c>
      <c r="J163" s="272">
        <v>2685</v>
      </c>
      <c r="K163" s="272"/>
      <c r="L163" s="117">
        <v>289</v>
      </c>
      <c r="M163" s="117">
        <v>12580</v>
      </c>
      <c r="N163" s="124"/>
      <c r="O163" s="117">
        <v>0</v>
      </c>
      <c r="P163" s="124"/>
      <c r="Q163" s="117">
        <v>18</v>
      </c>
      <c r="R163" s="117"/>
      <c r="S163" s="117">
        <v>12283</v>
      </c>
      <c r="T163" s="117"/>
      <c r="U163" s="117">
        <v>19912</v>
      </c>
      <c r="V163" s="117"/>
      <c r="W163" s="117">
        <v>29750</v>
      </c>
      <c r="X163" s="117">
        <v>34514</v>
      </c>
      <c r="Y163" s="117"/>
      <c r="Z163" s="117"/>
      <c r="AA163" s="117">
        <v>518</v>
      </c>
      <c r="AB163" s="117">
        <v>0</v>
      </c>
      <c r="AC163" s="117">
        <v>3218</v>
      </c>
      <c r="AD163" s="117"/>
      <c r="AE163" s="117"/>
      <c r="AF163" s="117"/>
      <c r="AG163" s="117"/>
      <c r="AH163" s="117"/>
      <c r="AI163" s="117">
        <f t="shared" si="15"/>
        <v>119394</v>
      </c>
      <c r="AJ163" s="211">
        <f>+AJ162</f>
        <v>115581</v>
      </c>
    </row>
    <row r="164" spans="3:36" x14ac:dyDescent="0.2">
      <c r="C164" s="146">
        <f t="shared" si="16"/>
        <v>2007.0833281000077</v>
      </c>
      <c r="D164" s="121">
        <v>39083</v>
      </c>
      <c r="E164" s="117">
        <v>744</v>
      </c>
      <c r="F164" s="117">
        <v>545</v>
      </c>
      <c r="G164" s="117">
        <v>802</v>
      </c>
      <c r="H164" s="117">
        <v>1327</v>
      </c>
      <c r="I164" s="117">
        <v>126</v>
      </c>
      <c r="J164" s="275">
        <v>2853</v>
      </c>
      <c r="K164" s="275"/>
      <c r="L164" s="117">
        <v>278</v>
      </c>
      <c r="M164" s="117">
        <v>12801</v>
      </c>
      <c r="N164" s="124"/>
      <c r="O164" s="117">
        <v>0</v>
      </c>
      <c r="P164" s="124"/>
      <c r="Q164" s="117">
        <v>20</v>
      </c>
      <c r="R164" s="117"/>
      <c r="S164" s="117">
        <v>12293</v>
      </c>
      <c r="T164" s="117"/>
      <c r="U164" s="117">
        <v>17385</v>
      </c>
      <c r="V164" s="117"/>
      <c r="W164" s="117">
        <v>29919</v>
      </c>
      <c r="X164" s="117">
        <v>37097</v>
      </c>
      <c r="Y164" s="117"/>
      <c r="Z164" s="117"/>
      <c r="AA164" s="117">
        <v>496</v>
      </c>
      <c r="AB164" s="117">
        <v>0</v>
      </c>
      <c r="AC164" s="117">
        <v>3022</v>
      </c>
      <c r="AD164" s="117"/>
      <c r="AE164" s="117"/>
      <c r="AF164" s="117"/>
      <c r="AG164" s="117"/>
      <c r="AH164" s="117"/>
      <c r="AI164" s="117">
        <f t="shared" si="15"/>
        <v>119708</v>
      </c>
      <c r="AJ164" s="211">
        <v>113869</v>
      </c>
    </row>
    <row r="165" spans="3:36" x14ac:dyDescent="0.2">
      <c r="C165" s="146">
        <f t="shared" si="16"/>
        <v>2007.1666614000078</v>
      </c>
      <c r="D165" s="121">
        <v>39114</v>
      </c>
      <c r="E165" s="117">
        <v>729.39285714285711</v>
      </c>
      <c r="F165" s="117">
        <v>553.60714285714289</v>
      </c>
      <c r="G165" s="117">
        <v>804.03571428571433</v>
      </c>
      <c r="H165" s="117">
        <f>40071/28</f>
        <v>1431.1071428571429</v>
      </c>
      <c r="I165" s="117">
        <v>140</v>
      </c>
      <c r="J165" s="272">
        <f>80304/28</f>
        <v>2868</v>
      </c>
      <c r="K165" s="272"/>
      <c r="L165" s="117">
        <v>276.07142857142856</v>
      </c>
      <c r="M165" s="117">
        <f>365428/28</f>
        <v>13051</v>
      </c>
      <c r="N165" s="124"/>
      <c r="O165" s="117">
        <v>0</v>
      </c>
      <c r="P165" s="124"/>
      <c r="Q165" s="117">
        <v>18.214285714285715</v>
      </c>
      <c r="R165" s="117"/>
      <c r="S165" s="117">
        <f>367789/28</f>
        <v>13135.321428571429</v>
      </c>
      <c r="T165" s="117"/>
      <c r="U165" s="117">
        <v>18160</v>
      </c>
      <c r="V165" s="117"/>
      <c r="W165" s="117">
        <v>27841</v>
      </c>
      <c r="X165" s="117">
        <v>31968</v>
      </c>
      <c r="Y165" s="117"/>
      <c r="Z165" s="117"/>
      <c r="AA165" s="117">
        <v>337</v>
      </c>
      <c r="AB165" s="117">
        <v>0</v>
      </c>
      <c r="AC165" s="117">
        <v>2907</v>
      </c>
      <c r="AD165" s="117"/>
      <c r="AE165" s="117"/>
      <c r="AF165" s="117"/>
      <c r="AG165" s="117"/>
      <c r="AH165" s="117"/>
      <c r="AI165" s="117">
        <f t="shared" si="15"/>
        <v>114219.75</v>
      </c>
      <c r="AJ165" s="211">
        <f>+AJ164</f>
        <v>113869</v>
      </c>
    </row>
    <row r="166" spans="3:36" x14ac:dyDescent="0.2">
      <c r="C166" s="146">
        <f t="shared" si="16"/>
        <v>2007.2499947000078</v>
      </c>
      <c r="D166" s="121">
        <v>39142</v>
      </c>
      <c r="E166" s="117">
        <v>670</v>
      </c>
      <c r="F166" s="117">
        <v>548</v>
      </c>
      <c r="G166" s="117">
        <v>845</v>
      </c>
      <c r="H166" s="117">
        <v>1176</v>
      </c>
      <c r="I166" s="117">
        <v>107</v>
      </c>
      <c r="J166" s="272">
        <v>2812</v>
      </c>
      <c r="K166" s="272"/>
      <c r="L166" s="117">
        <v>270</v>
      </c>
      <c r="M166" s="117">
        <v>10916</v>
      </c>
      <c r="N166" s="124"/>
      <c r="O166" s="117">
        <v>0</v>
      </c>
      <c r="P166" s="124"/>
      <c r="Q166" s="117">
        <v>9</v>
      </c>
      <c r="R166" s="117">
        <v>32</v>
      </c>
      <c r="S166" s="117">
        <v>10172</v>
      </c>
      <c r="T166" s="117"/>
      <c r="U166" s="117">
        <f>535977/31</f>
        <v>17289.580645161292</v>
      </c>
      <c r="V166" s="117"/>
      <c r="W166" s="117">
        <f>845517/31</f>
        <v>27274.741935483871</v>
      </c>
      <c r="X166" s="117">
        <f>850276/31</f>
        <v>27428.258064516129</v>
      </c>
      <c r="Y166" s="117"/>
      <c r="Z166" s="117"/>
      <c r="AA166" s="117">
        <v>540.06451612903231</v>
      </c>
      <c r="AB166" s="117">
        <v>0</v>
      </c>
      <c r="AC166" s="117">
        <f>87656/31</f>
        <v>2827.6129032258063</v>
      </c>
      <c r="AD166" s="117"/>
      <c r="AE166" s="117"/>
      <c r="AF166" s="117"/>
      <c r="AG166" s="117"/>
      <c r="AH166" s="117"/>
      <c r="AI166" s="117">
        <f t="shared" si="15"/>
        <v>102917.25806451611</v>
      </c>
      <c r="AJ166" s="211">
        <f>+AJ165</f>
        <v>113869</v>
      </c>
    </row>
    <row r="167" spans="3:36" x14ac:dyDescent="0.2">
      <c r="C167" s="146">
        <f t="shared" si="16"/>
        <v>2007.3333280000079</v>
      </c>
      <c r="D167" s="121">
        <v>39173</v>
      </c>
      <c r="E167" s="117">
        <v>812.7</v>
      </c>
      <c r="F167" s="117">
        <v>533.76666666666665</v>
      </c>
      <c r="G167" s="117">
        <v>867.4</v>
      </c>
      <c r="H167" s="117">
        <f>39250/30</f>
        <v>1308.3333333333333</v>
      </c>
      <c r="I167" s="117">
        <v>159.80000000000001</v>
      </c>
      <c r="J167" s="274">
        <f>90267/30</f>
        <v>3008.9</v>
      </c>
      <c r="K167" s="274"/>
      <c r="L167" s="117">
        <v>270.06666666666666</v>
      </c>
      <c r="M167" s="117">
        <f>399928/30</f>
        <v>13330.933333333332</v>
      </c>
      <c r="N167" s="124"/>
      <c r="O167" s="117">
        <v>0</v>
      </c>
      <c r="P167" s="124"/>
      <c r="Q167" s="117">
        <v>14.033333333333333</v>
      </c>
      <c r="R167" s="124">
        <f>2336/30</f>
        <v>77.86666666666666</v>
      </c>
      <c r="S167" s="117">
        <f>381529/30</f>
        <v>12717.633333333333</v>
      </c>
      <c r="T167" s="117"/>
      <c r="U167" s="117">
        <f>508019/30</f>
        <v>16933.966666666667</v>
      </c>
      <c r="V167" s="117"/>
      <c r="W167" s="117">
        <f>842181/30</f>
        <v>28072.7</v>
      </c>
      <c r="X167" s="117">
        <v>27520</v>
      </c>
      <c r="Y167" s="117"/>
      <c r="Z167" s="117"/>
      <c r="AA167" s="117">
        <v>490</v>
      </c>
      <c r="AB167" s="117">
        <v>0</v>
      </c>
      <c r="AC167" s="117">
        <v>3145</v>
      </c>
      <c r="AD167" s="117"/>
      <c r="AE167" s="117"/>
      <c r="AF167" s="117"/>
      <c r="AG167" s="117"/>
      <c r="AH167" s="117"/>
      <c r="AI167" s="117">
        <f t="shared" si="15"/>
        <v>109263.09999999999</v>
      </c>
      <c r="AJ167" s="211">
        <f>+AJ166</f>
        <v>113869</v>
      </c>
    </row>
    <row r="168" spans="3:36" x14ac:dyDescent="0.2">
      <c r="C168" s="146">
        <f t="shared" si="16"/>
        <v>2007.4166613000079</v>
      </c>
      <c r="D168" s="121">
        <v>39203</v>
      </c>
      <c r="E168" s="125">
        <f>27814/31</f>
        <v>897.22580645161293</v>
      </c>
      <c r="F168" s="125">
        <f>16066/31</f>
        <v>518.25806451612902</v>
      </c>
      <c r="G168" s="117">
        <f>33149/31</f>
        <v>1069.3225806451612</v>
      </c>
      <c r="H168" s="124">
        <f>44764/31</f>
        <v>1444</v>
      </c>
      <c r="I168" s="125">
        <f>6754/31</f>
        <v>217.87096774193549</v>
      </c>
      <c r="J168" s="274">
        <f>91935/31</f>
        <v>2965.6451612903224</v>
      </c>
      <c r="K168" s="274"/>
      <c r="L168" s="125">
        <f>8268/31</f>
        <v>266.70967741935482</v>
      </c>
      <c r="M168" s="117">
        <f>469350/31</f>
        <v>15140.322580645161</v>
      </c>
      <c r="N168" s="117"/>
      <c r="O168" s="117">
        <v>0</v>
      </c>
      <c r="P168" s="117"/>
      <c r="Q168" s="117">
        <f>752/31</f>
        <v>24.258064516129032</v>
      </c>
      <c r="R168" s="117">
        <f>2392/31</f>
        <v>77.161290322580641</v>
      </c>
      <c r="S168" s="117">
        <f>395259/31</f>
        <v>12750.290322580646</v>
      </c>
      <c r="T168" s="117"/>
      <c r="U168" s="117">
        <f>493271/31</f>
        <v>15911.967741935483</v>
      </c>
      <c r="V168" s="117"/>
      <c r="W168" s="117">
        <f>844891/31</f>
        <v>27254.548387096773</v>
      </c>
      <c r="X168" s="117">
        <f>1145862/31</f>
        <v>36963.290322580644</v>
      </c>
      <c r="Y168" s="117"/>
      <c r="Z168" s="117"/>
      <c r="AA168" s="117">
        <v>361.87096774193549</v>
      </c>
      <c r="AB168" s="117">
        <v>0</v>
      </c>
      <c r="AC168" s="117">
        <f>96755/31</f>
        <v>3121.1290322580644</v>
      </c>
      <c r="AD168" s="117"/>
      <c r="AE168" s="117"/>
      <c r="AF168" s="117"/>
      <c r="AG168" s="117"/>
      <c r="AH168" s="117"/>
      <c r="AI168" s="117">
        <f t="shared" si="15"/>
        <v>118983.87096774194</v>
      </c>
      <c r="AJ168" s="211">
        <f>+AJ167</f>
        <v>113869</v>
      </c>
    </row>
    <row r="169" spans="3:36" x14ac:dyDescent="0.2">
      <c r="C169" s="146">
        <f t="shared" si="16"/>
        <v>2007.499994600008</v>
      </c>
      <c r="D169" s="121">
        <v>39234</v>
      </c>
      <c r="E169" s="125">
        <f>25668/30</f>
        <v>855.6</v>
      </c>
      <c r="F169" s="125">
        <f>15362/30</f>
        <v>512.06666666666672</v>
      </c>
      <c r="G169" s="117">
        <f>27660/30</f>
        <v>922</v>
      </c>
      <c r="H169" s="125">
        <f>43522/30</f>
        <v>1450.7333333333333</v>
      </c>
      <c r="I169" s="125">
        <v>169.7</v>
      </c>
      <c r="J169" s="274">
        <f>87309/30</f>
        <v>2910.3</v>
      </c>
      <c r="K169" s="274"/>
      <c r="L169" s="125">
        <v>272.10000000000002</v>
      </c>
      <c r="M169" s="125">
        <f>401193/30</f>
        <v>13373.1</v>
      </c>
      <c r="N169" s="125"/>
      <c r="O169" s="125">
        <v>0</v>
      </c>
      <c r="P169" s="125"/>
      <c r="Q169" s="125">
        <v>19.366666666666667</v>
      </c>
      <c r="R169" s="125">
        <v>70.833333333333329</v>
      </c>
      <c r="S169" s="125">
        <f>384802/30</f>
        <v>12826.733333333334</v>
      </c>
      <c r="T169" s="125"/>
      <c r="U169" s="125">
        <f>496462/30</f>
        <v>16548.733333333334</v>
      </c>
      <c r="V169" s="125"/>
      <c r="W169" s="125">
        <f>814946/30</f>
        <v>27164.866666666665</v>
      </c>
      <c r="X169" s="125">
        <f>1096587/30</f>
        <v>36552.9</v>
      </c>
      <c r="Y169" s="125"/>
      <c r="Z169" s="125"/>
      <c r="AA169" s="125">
        <v>337.96666666666664</v>
      </c>
      <c r="AB169" s="125">
        <v>0</v>
      </c>
      <c r="AC169" s="125">
        <f>93718/30</f>
        <v>3123.9333333333334</v>
      </c>
      <c r="AD169" s="125"/>
      <c r="AE169" s="125"/>
      <c r="AF169" s="125"/>
      <c r="AG169" s="125"/>
      <c r="AH169" s="125"/>
      <c r="AI169" s="117">
        <f t="shared" si="15"/>
        <v>117110.93333333332</v>
      </c>
      <c r="AJ169" s="211">
        <f t="shared" ref="AJ169:AJ175" si="18">+AJ168</f>
        <v>113869</v>
      </c>
    </row>
    <row r="170" spans="3:36" x14ac:dyDescent="0.2">
      <c r="C170" s="146">
        <f t="shared" si="16"/>
        <v>2007.583327900008</v>
      </c>
      <c r="D170" s="121">
        <v>39264</v>
      </c>
      <c r="E170" s="125">
        <f>27640/31</f>
        <v>891.61290322580646</v>
      </c>
      <c r="F170" s="125">
        <v>560</v>
      </c>
      <c r="G170" s="125">
        <v>908.22580645161293</v>
      </c>
      <c r="H170" s="125">
        <f>44203/31</f>
        <v>1425.9032258064517</v>
      </c>
      <c r="I170" s="125">
        <v>143.58064516129033</v>
      </c>
      <c r="J170" s="274">
        <f>90019/31</f>
        <v>2903.8387096774195</v>
      </c>
      <c r="K170" s="274"/>
      <c r="L170" s="125">
        <v>269.61290322580646</v>
      </c>
      <c r="M170" s="125">
        <f>416577/31</f>
        <v>13437.967741935483</v>
      </c>
      <c r="N170" s="125"/>
      <c r="O170" s="125">
        <v>5.774193548387097</v>
      </c>
      <c r="P170" s="125"/>
      <c r="Q170" s="125">
        <v>18.93548387096774</v>
      </c>
      <c r="R170" s="125">
        <v>62.967741935483872</v>
      </c>
      <c r="S170" s="125">
        <f>346162/31</f>
        <v>11166.516129032258</v>
      </c>
      <c r="T170" s="125"/>
      <c r="U170" s="125">
        <f>535440/31</f>
        <v>17272.258064516129</v>
      </c>
      <c r="V170" s="125"/>
      <c r="W170" s="125">
        <f>837386/31</f>
        <v>27012.451612903227</v>
      </c>
      <c r="X170" s="125">
        <f>1133924/31</f>
        <v>36578.193548387098</v>
      </c>
      <c r="Y170" s="125"/>
      <c r="Z170" s="125"/>
      <c r="AA170" s="125">
        <v>323.48387096774195</v>
      </c>
      <c r="AB170" s="125">
        <v>0</v>
      </c>
      <c r="AC170" s="125">
        <f>94322/31</f>
        <v>3042.6451612903224</v>
      </c>
      <c r="AD170" s="125"/>
      <c r="AE170" s="125"/>
      <c r="AF170" s="125"/>
      <c r="AG170" s="125"/>
      <c r="AH170" s="125"/>
      <c r="AI170" s="117">
        <f t="shared" si="15"/>
        <v>116023.96774193548</v>
      </c>
      <c r="AJ170" s="211">
        <f t="shared" si="18"/>
        <v>113869</v>
      </c>
    </row>
    <row r="171" spans="3:36" x14ac:dyDescent="0.2">
      <c r="C171" s="146">
        <f t="shared" si="16"/>
        <v>2007.6666612000081</v>
      </c>
      <c r="D171" s="121">
        <v>39295</v>
      </c>
      <c r="E171" s="125">
        <f>24742/31</f>
        <v>798.12903225806451</v>
      </c>
      <c r="F171" s="125">
        <v>590.29032258064512</v>
      </c>
      <c r="G171" s="125">
        <v>947.35483870967744</v>
      </c>
      <c r="H171" s="125">
        <f>57029/31</f>
        <v>1839.6451612903227</v>
      </c>
      <c r="I171" s="125">
        <v>137.2258064516129</v>
      </c>
      <c r="J171" s="274">
        <f>89184/31</f>
        <v>2876.9032258064517</v>
      </c>
      <c r="K171" s="274"/>
      <c r="L171" s="125">
        <v>268.32258064516128</v>
      </c>
      <c r="M171" s="125">
        <f>411277/31</f>
        <v>13267</v>
      </c>
      <c r="N171" s="125"/>
      <c r="O171" s="125">
        <v>0.77419354838709675</v>
      </c>
      <c r="P171" s="125"/>
      <c r="Q171" s="125">
        <v>18.774193548387096</v>
      </c>
      <c r="R171" s="125">
        <v>54.29032258064516</v>
      </c>
      <c r="S171" s="125">
        <f>301436/31</f>
        <v>9723.7419354838712</v>
      </c>
      <c r="T171" s="125"/>
      <c r="U171" s="125">
        <f>561219/31</f>
        <v>18103.83870967742</v>
      </c>
      <c r="V171" s="125"/>
      <c r="W171" s="125">
        <f>830178/31</f>
        <v>26779.935483870966</v>
      </c>
      <c r="X171" s="125">
        <f>842794/31</f>
        <v>27186.903225806451</v>
      </c>
      <c r="Y171" s="125"/>
      <c r="Z171" s="125"/>
      <c r="AA171" s="125">
        <v>671.09677419354841</v>
      </c>
      <c r="AB171" s="125">
        <v>0</v>
      </c>
      <c r="AC171" s="125">
        <f>94214/31</f>
        <v>3039.1612903225805</v>
      </c>
      <c r="AD171" s="125"/>
      <c r="AE171" s="125"/>
      <c r="AF171" s="125"/>
      <c r="AG171" s="125"/>
      <c r="AH171" s="125"/>
      <c r="AI171" s="117">
        <f t="shared" si="15"/>
        <v>106303.38709677418</v>
      </c>
      <c r="AJ171" s="211">
        <f t="shared" si="18"/>
        <v>113869</v>
      </c>
    </row>
    <row r="172" spans="3:36" x14ac:dyDescent="0.2">
      <c r="C172" s="146">
        <f t="shared" si="16"/>
        <v>2007.7499945000081</v>
      </c>
      <c r="D172" s="121">
        <v>39326</v>
      </c>
      <c r="E172" s="125">
        <f>25027/30</f>
        <v>834.23333333333335</v>
      </c>
      <c r="F172" s="125">
        <f>17461/30</f>
        <v>582.0333333333333</v>
      </c>
      <c r="G172" s="125">
        <f>33656/30</f>
        <v>1121.8666666666666</v>
      </c>
      <c r="H172" s="125">
        <f>62607/30</f>
        <v>2086.9</v>
      </c>
      <c r="I172" s="125">
        <f>3919/30</f>
        <v>130.63333333333333</v>
      </c>
      <c r="J172" s="274">
        <f>86428/30</f>
        <v>2880.9333333333334</v>
      </c>
      <c r="K172" s="274"/>
      <c r="L172" s="125">
        <f>8015/30</f>
        <v>267.16666666666669</v>
      </c>
      <c r="M172" s="125">
        <f>395013/30</f>
        <v>13167.1</v>
      </c>
      <c r="N172" s="125"/>
      <c r="O172" s="125">
        <f>10506/30</f>
        <v>350.2</v>
      </c>
      <c r="P172" s="125"/>
      <c r="Q172" s="125">
        <f>526/30</f>
        <v>17.533333333333335</v>
      </c>
      <c r="R172" s="125">
        <f>1459/30</f>
        <v>48.633333333333333</v>
      </c>
      <c r="S172" s="125">
        <f>375538/30</f>
        <v>12517.933333333332</v>
      </c>
      <c r="T172" s="125"/>
      <c r="U172" s="125">
        <f>492638/30</f>
        <v>16421.266666666666</v>
      </c>
      <c r="V172" s="125"/>
      <c r="W172" s="117">
        <f>757461/30</f>
        <v>25248.7</v>
      </c>
      <c r="X172" s="117">
        <f>1057686/30</f>
        <v>35256.199999999997</v>
      </c>
      <c r="Y172" s="117"/>
      <c r="Z172" s="117"/>
      <c r="AA172" s="117">
        <f>12592/30</f>
        <v>419.73333333333335</v>
      </c>
      <c r="AB172" s="117">
        <v>0</v>
      </c>
      <c r="AC172" s="117">
        <f>90858/30</f>
        <v>3028.6</v>
      </c>
      <c r="AD172" s="117"/>
      <c r="AE172" s="117"/>
      <c r="AF172" s="117"/>
      <c r="AG172" s="117"/>
      <c r="AH172" s="117"/>
      <c r="AI172" s="117">
        <f t="shared" si="15"/>
        <v>114379.66666666667</v>
      </c>
      <c r="AJ172" s="211">
        <f t="shared" si="18"/>
        <v>113869</v>
      </c>
    </row>
    <row r="173" spans="3:36" x14ac:dyDescent="0.2">
      <c r="C173" s="146">
        <f t="shared" si="16"/>
        <v>2007.8333278000082</v>
      </c>
      <c r="D173" s="121">
        <v>39356</v>
      </c>
      <c r="E173" s="125">
        <f>31166/31</f>
        <v>1005.3548387096774</v>
      </c>
      <c r="F173" s="125">
        <f>16946/31</f>
        <v>546.64516129032256</v>
      </c>
      <c r="G173" s="125">
        <f>40251/31</f>
        <v>1298.4193548387098</v>
      </c>
      <c r="H173" s="125">
        <f>60333/31</f>
        <v>1946.2258064516129</v>
      </c>
      <c r="I173" s="125">
        <v>165.35483870967741</v>
      </c>
      <c r="J173" s="274">
        <f>87919/31</f>
        <v>2836.0967741935483</v>
      </c>
      <c r="K173" s="274"/>
      <c r="L173" s="125">
        <v>260.64516129032256</v>
      </c>
      <c r="M173" s="125">
        <f>414430/31</f>
        <v>13368.709677419354</v>
      </c>
      <c r="N173" s="125"/>
      <c r="O173" s="125">
        <f>52576/31</f>
        <v>1696</v>
      </c>
      <c r="P173" s="125"/>
      <c r="Q173" s="125">
        <v>18.806451612903224</v>
      </c>
      <c r="R173" s="125">
        <v>42.612903225806448</v>
      </c>
      <c r="S173" s="125">
        <f>315431/31</f>
        <v>10175.193548387097</v>
      </c>
      <c r="T173" s="125"/>
      <c r="U173" s="125">
        <f>529512/31</f>
        <v>17081.032258064515</v>
      </c>
      <c r="V173" s="125"/>
      <c r="W173" s="117">
        <f>774079/31</f>
        <v>24970.290322580644</v>
      </c>
      <c r="X173" s="117">
        <f>1122961/31</f>
        <v>36224.548387096773</v>
      </c>
      <c r="Y173" s="117"/>
      <c r="Z173" s="117"/>
      <c r="AA173" s="117">
        <f>14437/31</f>
        <v>465.70967741935482</v>
      </c>
      <c r="AB173" s="117">
        <v>0</v>
      </c>
      <c r="AC173" s="117">
        <f>91063/31</f>
        <v>2937.516129032258</v>
      </c>
      <c r="AD173" s="117"/>
      <c r="AE173" s="117"/>
      <c r="AF173" s="117"/>
      <c r="AG173" s="117"/>
      <c r="AH173" s="117"/>
      <c r="AI173" s="117">
        <f t="shared" si="15"/>
        <v>115039.16129032256</v>
      </c>
      <c r="AJ173" s="211">
        <f t="shared" si="18"/>
        <v>113869</v>
      </c>
    </row>
    <row r="174" spans="3:36" x14ac:dyDescent="0.2">
      <c r="C174" s="146">
        <f t="shared" si="16"/>
        <v>2007.9166611000082</v>
      </c>
      <c r="D174" s="121">
        <v>39387</v>
      </c>
      <c r="E174" s="125">
        <f>30887/30</f>
        <v>1029.5666666666666</v>
      </c>
      <c r="F174" s="124">
        <f>18480/30</f>
        <v>616</v>
      </c>
      <c r="G174" s="125">
        <f>37419/30</f>
        <v>1247.3</v>
      </c>
      <c r="H174" s="125">
        <f>52127/30</f>
        <v>1737.5666666666666</v>
      </c>
      <c r="I174" s="125">
        <f>5034/30</f>
        <v>167.8</v>
      </c>
      <c r="J174" s="274">
        <f>84130/30</f>
        <v>2804.3333333333335</v>
      </c>
      <c r="K174" s="274"/>
      <c r="L174" s="125">
        <f>7857/30</f>
        <v>261.89999999999998</v>
      </c>
      <c r="M174" s="125">
        <f>412072/30</f>
        <v>13735.733333333334</v>
      </c>
      <c r="N174" s="124"/>
      <c r="O174" s="125">
        <f>21123/30</f>
        <v>704.1</v>
      </c>
      <c r="P174" s="124"/>
      <c r="Q174" s="125">
        <f>576/30</f>
        <v>19.2</v>
      </c>
      <c r="R174" s="125">
        <f>1397/30</f>
        <v>46.56666666666667</v>
      </c>
      <c r="S174" s="124">
        <f>362160/30</f>
        <v>12072</v>
      </c>
      <c r="T174" s="124"/>
      <c r="U174" s="125">
        <f>489913/30</f>
        <v>16330.433333333332</v>
      </c>
      <c r="V174" s="125"/>
      <c r="W174" s="117">
        <f>721327/30</f>
        <v>24044.233333333334</v>
      </c>
      <c r="X174" s="124">
        <f>1084950/30</f>
        <v>36165</v>
      </c>
      <c r="Y174" s="124"/>
      <c r="Z174" s="124"/>
      <c r="AA174" s="125">
        <f>11184/30</f>
        <v>372.8</v>
      </c>
      <c r="AB174" s="125">
        <v>0</v>
      </c>
      <c r="AC174" s="117">
        <f>87280/30</f>
        <v>2909.3333333333335</v>
      </c>
      <c r="AD174" s="117"/>
      <c r="AE174" s="117"/>
      <c r="AF174" s="117"/>
      <c r="AG174" s="117"/>
      <c r="AH174" s="117"/>
      <c r="AI174" s="117">
        <f t="shared" si="15"/>
        <v>114263.86666666667</v>
      </c>
      <c r="AJ174" s="211">
        <f>+AJ173</f>
        <v>113869</v>
      </c>
    </row>
    <row r="175" spans="3:36" x14ac:dyDescent="0.2">
      <c r="C175" s="146">
        <f t="shared" si="16"/>
        <v>2007.9999944000083</v>
      </c>
      <c r="D175" s="121">
        <v>39417</v>
      </c>
      <c r="E175" s="125">
        <f>31956/31</f>
        <v>1030.8387096774193</v>
      </c>
      <c r="F175" s="125">
        <f>20923/31</f>
        <v>674.93548387096769</v>
      </c>
      <c r="G175" s="125">
        <f>37576/31</f>
        <v>1212.1290322580646</v>
      </c>
      <c r="H175" s="125">
        <f>51632/31</f>
        <v>1665.5483870967741</v>
      </c>
      <c r="I175" s="125">
        <f>5269/31</f>
        <v>169.96774193548387</v>
      </c>
      <c r="J175" s="274">
        <f>82208/31</f>
        <v>2651.8709677419356</v>
      </c>
      <c r="K175" s="274"/>
      <c r="L175" s="125">
        <f>7761/31</f>
        <v>250.35483870967741</v>
      </c>
      <c r="M175" s="125">
        <f>438636/31</f>
        <v>14149.548387096775</v>
      </c>
      <c r="N175" s="124"/>
      <c r="O175" s="125">
        <f>38237/31</f>
        <v>1233.4516129032259</v>
      </c>
      <c r="P175" s="124"/>
      <c r="Q175" s="126">
        <f>593/31</f>
        <v>19.129032258064516</v>
      </c>
      <c r="R175" s="125">
        <v>44.645161290322584</v>
      </c>
      <c r="S175" s="125">
        <f>411577/31</f>
        <v>13276.677419354839</v>
      </c>
      <c r="T175" s="125">
        <v>927.25806451612902</v>
      </c>
      <c r="U175" s="125">
        <f>531766/31</f>
        <v>17153.741935483871</v>
      </c>
      <c r="V175" s="125"/>
      <c r="W175" s="125">
        <f>756499/31</f>
        <v>24403.193548387098</v>
      </c>
      <c r="X175" s="125">
        <f>1115578/31</f>
        <v>35986.387096774197</v>
      </c>
      <c r="Y175" s="125"/>
      <c r="Z175" s="125"/>
      <c r="AA175" s="125">
        <f>15808/31</f>
        <v>509.93548387096774</v>
      </c>
      <c r="AB175" s="125">
        <v>0</v>
      </c>
      <c r="AC175" s="125">
        <f>89161/31</f>
        <v>2876.1612903225805</v>
      </c>
      <c r="AD175" s="125"/>
      <c r="AE175" s="125"/>
      <c r="AF175" s="125"/>
      <c r="AG175" s="125"/>
      <c r="AH175" s="125"/>
      <c r="AI175" s="117">
        <f t="shared" si="15"/>
        <v>118235.77419354839</v>
      </c>
      <c r="AJ175" s="211">
        <f t="shared" si="18"/>
        <v>113869</v>
      </c>
    </row>
    <row r="176" spans="3:36" x14ac:dyDescent="0.2">
      <c r="C176" s="146">
        <f t="shared" si="16"/>
        <v>2008.0833277000083</v>
      </c>
      <c r="D176" s="121">
        <v>39448</v>
      </c>
      <c r="E176" s="125">
        <f>27460/31</f>
        <v>885.80645161290317</v>
      </c>
      <c r="F176" s="125">
        <f>19191/31</f>
        <v>619.06451612903231</v>
      </c>
      <c r="G176" s="124">
        <f>37231/31</f>
        <v>1201</v>
      </c>
      <c r="H176" s="125">
        <f>62897/31</f>
        <v>2028.9354838709678</v>
      </c>
      <c r="I176" s="125">
        <f>5539/31</f>
        <v>178.67741935483872</v>
      </c>
      <c r="J176" s="274">
        <f>86419/31</f>
        <v>2787.7096774193546</v>
      </c>
      <c r="K176" s="274"/>
      <c r="L176" s="124">
        <f>7906/31</f>
        <v>255.03225806451613</v>
      </c>
      <c r="M176" s="125">
        <f>433049/31</f>
        <v>13969.322580645161</v>
      </c>
      <c r="N176" s="124"/>
      <c r="O176" s="125">
        <f>39602/31</f>
        <v>1277.483870967742</v>
      </c>
      <c r="P176" s="124"/>
      <c r="Q176" s="125">
        <f>613/31</f>
        <v>19.774193548387096</v>
      </c>
      <c r="R176" s="125">
        <f>1340/31</f>
        <v>43.225806451612904</v>
      </c>
      <c r="S176" s="125">
        <f>366153/31</f>
        <v>11811.387096774193</v>
      </c>
      <c r="T176" s="125">
        <f>29274/31</f>
        <v>944.32258064516134</v>
      </c>
      <c r="U176" s="125">
        <f>523996/31</f>
        <v>16903.096774193549</v>
      </c>
      <c r="V176" s="125"/>
      <c r="W176" s="125">
        <f>742056/31</f>
        <v>23937.290322580644</v>
      </c>
      <c r="X176" s="124">
        <f>851043/31</f>
        <v>27453</v>
      </c>
      <c r="Y176" s="124"/>
      <c r="Z176" s="124"/>
      <c r="AA176" s="125">
        <f>10672/31</f>
        <v>344.25806451612902</v>
      </c>
      <c r="AB176" s="125">
        <v>0</v>
      </c>
      <c r="AC176" s="125">
        <f>86664/31</f>
        <v>2795.6129032258063</v>
      </c>
      <c r="AD176" s="125"/>
      <c r="AE176" s="125"/>
      <c r="AF176" s="125"/>
      <c r="AG176" s="125"/>
      <c r="AH176" s="125"/>
      <c r="AI176" s="117">
        <f t="shared" si="15"/>
        <v>107455</v>
      </c>
      <c r="AJ176" s="211">
        <v>120028</v>
      </c>
    </row>
    <row r="177" spans="3:36" x14ac:dyDescent="0.2">
      <c r="C177" s="146">
        <f t="shared" si="16"/>
        <v>2008.1666610000084</v>
      </c>
      <c r="D177" s="121">
        <v>39479</v>
      </c>
      <c r="E177" s="125">
        <f>24932/29</f>
        <v>859.72413793103453</v>
      </c>
      <c r="F177" s="125">
        <f>18208/29</f>
        <v>627.86206896551721</v>
      </c>
      <c r="G177" s="125">
        <f>31630/29</f>
        <v>1090.6896551724137</v>
      </c>
      <c r="H177" s="125">
        <f>56256/29</f>
        <v>1939.8620689655172</v>
      </c>
      <c r="I177" s="125">
        <f>5448/29</f>
        <v>187.86206896551724</v>
      </c>
      <c r="J177" s="274">
        <f>74593/29</f>
        <v>2572.1724137931033</v>
      </c>
      <c r="K177" s="274"/>
      <c r="L177" s="124">
        <f>7336/29</f>
        <v>252.9655172413793</v>
      </c>
      <c r="M177" s="125">
        <f>406943/29</f>
        <v>14032.51724137931</v>
      </c>
      <c r="N177" s="124"/>
      <c r="O177" s="125">
        <f>42838/29</f>
        <v>1477.1724137931035</v>
      </c>
      <c r="P177" s="124"/>
      <c r="Q177" s="126">
        <f>578/29</f>
        <v>19.931034482758619</v>
      </c>
      <c r="R177" s="124">
        <f>1189/29</f>
        <v>41</v>
      </c>
      <c r="S177" s="125">
        <f>311917/29</f>
        <v>10755.758620689656</v>
      </c>
      <c r="T177" s="125">
        <f>27704/29</f>
        <v>955.31034482758616</v>
      </c>
      <c r="U177" s="125">
        <f>465697/29</f>
        <v>16058.51724137931</v>
      </c>
      <c r="V177" s="125"/>
      <c r="W177" s="125">
        <f>737319/29</f>
        <v>25424.793103448275</v>
      </c>
      <c r="X177" s="125">
        <f>1006690/29</f>
        <v>34713.448275862072</v>
      </c>
      <c r="Y177" s="125"/>
      <c r="Z177" s="125"/>
      <c r="AA177" s="125">
        <f>11246/29</f>
        <v>387.79310344827587</v>
      </c>
      <c r="AB177" s="125">
        <v>0</v>
      </c>
      <c r="AC177" s="125">
        <f>78952/29</f>
        <v>2722.4827586206898</v>
      </c>
      <c r="AD177" s="125"/>
      <c r="AE177" s="125"/>
      <c r="AF177" s="125"/>
      <c r="AG177" s="125"/>
      <c r="AH177" s="125"/>
      <c r="AI177" s="117">
        <f t="shared" si="15"/>
        <v>114119.86206896554</v>
      </c>
      <c r="AJ177" s="211">
        <f t="shared" ref="AJ177:AJ187" si="19">+AJ176</f>
        <v>120028</v>
      </c>
    </row>
    <row r="178" spans="3:36" x14ac:dyDescent="0.2">
      <c r="C178" s="146">
        <f t="shared" si="16"/>
        <v>2008.2499943000084</v>
      </c>
      <c r="D178" s="121">
        <v>39508</v>
      </c>
      <c r="E178" s="117">
        <v>942.70967741935488</v>
      </c>
      <c r="F178" s="117">
        <v>645.22580645161293</v>
      </c>
      <c r="G178" s="117">
        <f>34901/31</f>
        <v>1125.8387096774193</v>
      </c>
      <c r="H178" s="117">
        <f>51816/31</f>
        <v>1671.483870967742</v>
      </c>
      <c r="I178" s="117">
        <v>159.06451612903226</v>
      </c>
      <c r="J178" s="272">
        <f>85577/31</f>
        <v>2760.5483870967741</v>
      </c>
      <c r="K178" s="272"/>
      <c r="L178" s="117">
        <v>253.64516129032259</v>
      </c>
      <c r="M178" s="117">
        <f>441726/31</f>
        <v>14249.225806451614</v>
      </c>
      <c r="N178" s="117"/>
      <c r="O178" s="125">
        <f>50874/31</f>
        <v>1641.0967741935483</v>
      </c>
      <c r="P178" s="117"/>
      <c r="Q178" s="126">
        <v>18.838709677419356</v>
      </c>
      <c r="R178" s="117">
        <v>36.064516129032256</v>
      </c>
      <c r="S178" s="117">
        <f>351580/31</f>
        <v>11341.290322580646</v>
      </c>
      <c r="T178" s="117">
        <v>0</v>
      </c>
      <c r="U178" s="117">
        <f>471648/31</f>
        <v>15214.451612903225</v>
      </c>
      <c r="V178" s="117"/>
      <c r="W178" s="117">
        <f>548394/31</f>
        <v>17690.129032258064</v>
      </c>
      <c r="X178" s="117">
        <f>770050/31</f>
        <v>24840.322580645163</v>
      </c>
      <c r="Y178" s="117"/>
      <c r="Z178" s="117"/>
      <c r="AA178" s="117">
        <v>380.51612903225805</v>
      </c>
      <c r="AB178" s="117">
        <v>32.645161290322584</v>
      </c>
      <c r="AC178" s="117">
        <f>85300/31</f>
        <v>2751.6129032258063</v>
      </c>
      <c r="AD178" s="117"/>
      <c r="AE178" s="117"/>
      <c r="AF178" s="117"/>
      <c r="AG178" s="117"/>
      <c r="AH178" s="117"/>
      <c r="AI178" s="117">
        <f t="shared" si="15"/>
        <v>95754.709677419363</v>
      </c>
      <c r="AJ178" s="211">
        <f t="shared" si="19"/>
        <v>120028</v>
      </c>
    </row>
    <row r="179" spans="3:36" x14ac:dyDescent="0.2">
      <c r="C179" s="146">
        <f t="shared" si="16"/>
        <v>2008.3333276000085</v>
      </c>
      <c r="D179" s="121">
        <v>39539</v>
      </c>
      <c r="E179" s="117">
        <f>26624/30</f>
        <v>887.4666666666667</v>
      </c>
      <c r="F179" s="117">
        <f>22084/30</f>
        <v>736.13333333333333</v>
      </c>
      <c r="G179" s="117">
        <f>34443/30</f>
        <v>1148.0999999999999</v>
      </c>
      <c r="H179" s="117">
        <f>51412/30</f>
        <v>1713.7333333333333</v>
      </c>
      <c r="I179" s="117">
        <f>5491/30</f>
        <v>183.03333333333333</v>
      </c>
      <c r="J179" s="272">
        <f>82758/30</f>
        <v>2758.6</v>
      </c>
      <c r="K179" s="272"/>
      <c r="L179" s="117">
        <f>7708/30</f>
        <v>256.93333333333334</v>
      </c>
      <c r="M179" s="117">
        <f>420146/30</f>
        <v>14004.866666666667</v>
      </c>
      <c r="N179" s="124"/>
      <c r="O179" s="125">
        <f>35735/30</f>
        <v>1191.1666666666667</v>
      </c>
      <c r="P179" s="124"/>
      <c r="Q179" s="126">
        <f>567/30</f>
        <v>18.899999999999999</v>
      </c>
      <c r="R179" s="125">
        <f>1113/30</f>
        <v>37.1</v>
      </c>
      <c r="S179" s="117">
        <f>339895/30</f>
        <v>11329.833333333334</v>
      </c>
      <c r="T179" s="117"/>
      <c r="U179" s="117">
        <f>458013/30</f>
        <v>15267.1</v>
      </c>
      <c r="V179" s="117"/>
      <c r="W179" s="117">
        <f>744774/30</f>
        <v>24825.8</v>
      </c>
      <c r="X179" s="117">
        <f>1075554/30</f>
        <v>35851.800000000003</v>
      </c>
      <c r="Y179" s="117"/>
      <c r="Z179" s="117"/>
      <c r="AA179" s="117">
        <f>14158/30</f>
        <v>471.93333333333334</v>
      </c>
      <c r="AB179" s="117">
        <f>1533/30</f>
        <v>51.1</v>
      </c>
      <c r="AC179" s="117">
        <f>82088/30</f>
        <v>2736.2666666666669</v>
      </c>
      <c r="AD179" s="117"/>
      <c r="AE179" s="117"/>
      <c r="AF179" s="117"/>
      <c r="AG179" s="117"/>
      <c r="AH179" s="117"/>
      <c r="AI179" s="117">
        <f t="shared" si="15"/>
        <v>113469.86666666667</v>
      </c>
      <c r="AJ179" s="211">
        <f t="shared" si="19"/>
        <v>120028</v>
      </c>
    </row>
    <row r="180" spans="3:36" x14ac:dyDescent="0.2">
      <c r="C180" s="146">
        <f t="shared" si="16"/>
        <v>2008.4166609000085</v>
      </c>
      <c r="D180" s="121">
        <v>39569</v>
      </c>
      <c r="E180" s="117">
        <f>32807/31</f>
        <v>1058.2903225806451</v>
      </c>
      <c r="F180" s="117">
        <v>729.74193548387098</v>
      </c>
      <c r="G180" s="117">
        <v>1041.8064516129032</v>
      </c>
      <c r="H180" s="117">
        <f>46262/31</f>
        <v>1492.3225806451612</v>
      </c>
      <c r="I180" s="117">
        <v>214.19354838709677</v>
      </c>
      <c r="J180" s="274">
        <f>85851/31</f>
        <v>2769.3870967741937</v>
      </c>
      <c r="K180" s="274"/>
      <c r="L180" s="117">
        <v>246.32258064516128</v>
      </c>
      <c r="M180" s="117">
        <f>435871/31</f>
        <v>14060.354838709678</v>
      </c>
      <c r="N180" s="124"/>
      <c r="O180" s="125">
        <f>62021/31</f>
        <v>2000.6774193548388</v>
      </c>
      <c r="P180" s="124"/>
      <c r="Q180" s="126">
        <f>563/31</f>
        <v>18.161290322580644</v>
      </c>
      <c r="R180" s="125">
        <f>1208/31</f>
        <v>38.967741935483872</v>
      </c>
      <c r="S180" s="117">
        <f>342218/31</f>
        <v>11039.290322580646</v>
      </c>
      <c r="T180" s="124">
        <v>0</v>
      </c>
      <c r="U180" s="117">
        <f>447477/31</f>
        <v>14434.741935483871</v>
      </c>
      <c r="V180" s="117"/>
      <c r="W180" s="117">
        <f>731675/31</f>
        <v>23602.419354838708</v>
      </c>
      <c r="X180" s="117">
        <f>895032/31</f>
        <v>28872</v>
      </c>
      <c r="Y180" s="117"/>
      <c r="Z180" s="117"/>
      <c r="AA180" s="117">
        <v>371.64516129032256</v>
      </c>
      <c r="AB180" s="117">
        <v>142.19354838709677</v>
      </c>
      <c r="AC180" s="117">
        <f>84623/31</f>
        <v>2729.7741935483873</v>
      </c>
      <c r="AD180" s="117"/>
      <c r="AE180" s="117"/>
      <c r="AF180" s="117"/>
      <c r="AG180" s="117"/>
      <c r="AH180" s="117"/>
      <c r="AI180" s="117">
        <f t="shared" si="15"/>
        <v>104862.29032258064</v>
      </c>
      <c r="AJ180" s="211">
        <f t="shared" si="19"/>
        <v>120028</v>
      </c>
    </row>
    <row r="181" spans="3:36" x14ac:dyDescent="0.2">
      <c r="C181" s="146">
        <f t="shared" si="16"/>
        <v>2008.4999942000086</v>
      </c>
      <c r="D181" s="121">
        <v>39600</v>
      </c>
      <c r="E181" s="117">
        <v>951.3</v>
      </c>
      <c r="F181" s="117">
        <v>739.66666666666663</v>
      </c>
      <c r="G181" s="117">
        <f>34861/30</f>
        <v>1162.0333333333333</v>
      </c>
      <c r="H181" s="117">
        <f>57560/30</f>
        <v>1918.6666666666667</v>
      </c>
      <c r="I181" s="117">
        <v>257.33333333333331</v>
      </c>
      <c r="J181" s="274">
        <f>87560/30</f>
        <v>2918.6666666666665</v>
      </c>
      <c r="K181" s="274"/>
      <c r="L181" s="117">
        <v>248.56666666666666</v>
      </c>
      <c r="M181" s="117">
        <f>425207/30</f>
        <v>14173.566666666668</v>
      </c>
      <c r="N181" s="124"/>
      <c r="O181" s="125">
        <f>62695/30</f>
        <v>2089.8333333333335</v>
      </c>
      <c r="P181" s="124"/>
      <c r="Q181" s="126">
        <f>545/30</f>
        <v>18.166666666666668</v>
      </c>
      <c r="R181" s="125">
        <f>1034/30</f>
        <v>34.466666666666669</v>
      </c>
      <c r="S181" s="117">
        <f>310053/30</f>
        <v>10335.1</v>
      </c>
      <c r="T181" s="125">
        <f>29341/30</f>
        <v>978.0333333333333</v>
      </c>
      <c r="U181" s="117">
        <f>459014/30</f>
        <v>15300.466666666667</v>
      </c>
      <c r="V181" s="117"/>
      <c r="W181" s="117">
        <f>701728/30</f>
        <v>23390.933333333334</v>
      </c>
      <c r="X181" s="117">
        <f>1072200/30</f>
        <v>35740</v>
      </c>
      <c r="Y181" s="117"/>
      <c r="Z181" s="117"/>
      <c r="AA181" s="117">
        <v>402.86666666666667</v>
      </c>
      <c r="AB181" s="117">
        <v>145.46666666666667</v>
      </c>
      <c r="AC181" s="117">
        <f>75736/30</f>
        <v>2524.5333333333333</v>
      </c>
      <c r="AD181" s="117"/>
      <c r="AE181" s="117"/>
      <c r="AF181" s="117"/>
      <c r="AG181" s="117"/>
      <c r="AH181" s="117"/>
      <c r="AI181" s="117">
        <f t="shared" si="15"/>
        <v>113329.66666666667</v>
      </c>
      <c r="AJ181" s="211">
        <f t="shared" si="19"/>
        <v>120028</v>
      </c>
    </row>
    <row r="182" spans="3:36" x14ac:dyDescent="0.2">
      <c r="C182" s="146">
        <f t="shared" si="16"/>
        <v>2008.5833275000086</v>
      </c>
      <c r="D182" s="121">
        <v>39630</v>
      </c>
      <c r="E182" s="117">
        <f>28258/31</f>
        <v>911.54838709677415</v>
      </c>
      <c r="F182" s="117">
        <v>719.74193548387098</v>
      </c>
      <c r="G182" s="117">
        <f>60215/31</f>
        <v>1942.4193548387098</v>
      </c>
      <c r="H182" s="117">
        <f>50666/31</f>
        <v>1634.3870967741937</v>
      </c>
      <c r="I182" s="117">
        <f>7031/31</f>
        <v>226.80645161290323</v>
      </c>
      <c r="J182" s="274">
        <f>88738/31</f>
        <v>2862.516129032258</v>
      </c>
      <c r="K182" s="274"/>
      <c r="L182" s="117">
        <v>274.87096774193549</v>
      </c>
      <c r="M182" s="117">
        <f>433375/31</f>
        <v>13979.838709677419</v>
      </c>
      <c r="N182" s="124"/>
      <c r="O182" s="125">
        <f>76545/31</f>
        <v>2469.1935483870966</v>
      </c>
      <c r="P182" s="124"/>
      <c r="Q182" s="126">
        <f>563/31</f>
        <v>18.161290322580644</v>
      </c>
      <c r="R182" s="126">
        <f>1074/31</f>
        <v>34.645161290322584</v>
      </c>
      <c r="S182" s="117">
        <f>360743/31</f>
        <v>11636.870967741936</v>
      </c>
      <c r="T182" s="125">
        <f>141714/31</f>
        <v>4571.4193548387093</v>
      </c>
      <c r="U182" s="117">
        <f>486608/31</f>
        <v>15697.032258064517</v>
      </c>
      <c r="V182" s="117"/>
      <c r="W182" s="117">
        <f>715300/31</f>
        <v>23074.193548387098</v>
      </c>
      <c r="X182" s="117">
        <f>1097799/31</f>
        <v>35412.870967741932</v>
      </c>
      <c r="Y182" s="117"/>
      <c r="Z182" s="117"/>
      <c r="AA182" s="117">
        <v>401.90322580645159</v>
      </c>
      <c r="AB182" s="117">
        <v>104.83870967741936</v>
      </c>
      <c r="AC182" s="117">
        <f>84964/31</f>
        <v>2740.7741935483873</v>
      </c>
      <c r="AD182" s="117"/>
      <c r="AE182" s="117"/>
      <c r="AF182" s="117"/>
      <c r="AG182" s="117"/>
      <c r="AH182" s="117"/>
      <c r="AI182" s="117">
        <f t="shared" si="15"/>
        <v>118714.03225806454</v>
      </c>
      <c r="AJ182" s="211">
        <f t="shared" si="19"/>
        <v>120028</v>
      </c>
    </row>
    <row r="183" spans="3:36" x14ac:dyDescent="0.2">
      <c r="C183" s="146">
        <f t="shared" si="16"/>
        <v>2008.6666608000087</v>
      </c>
      <c r="D183" s="121">
        <v>39661</v>
      </c>
      <c r="E183" s="117">
        <v>897.93548387096769</v>
      </c>
      <c r="F183" s="117">
        <v>657.83870967741939</v>
      </c>
      <c r="G183" s="117">
        <f>66642/31</f>
        <v>2149.7419354838707</v>
      </c>
      <c r="H183" s="117">
        <f>48587/31</f>
        <v>1567.3225806451612</v>
      </c>
      <c r="I183" s="117">
        <v>221.45161290322579</v>
      </c>
      <c r="J183" s="272">
        <f>88926/31</f>
        <v>2868.5806451612902</v>
      </c>
      <c r="K183" s="272"/>
      <c r="L183" s="117">
        <v>271.54838709677421</v>
      </c>
      <c r="M183" s="117">
        <f>441805/31</f>
        <v>14251.774193548386</v>
      </c>
      <c r="N183" s="117"/>
      <c r="O183" s="125">
        <f>70226/31</f>
        <v>2265.3548387096776</v>
      </c>
      <c r="P183" s="117"/>
      <c r="Q183" s="117">
        <f>571/31</f>
        <v>18.419354838709676</v>
      </c>
      <c r="R183" s="117">
        <f>1077/31</f>
        <v>34.741935483870968</v>
      </c>
      <c r="S183" s="117">
        <f>358350/31</f>
        <v>11559.677419354839</v>
      </c>
      <c r="T183" s="117">
        <f>116772/31</f>
        <v>3766.8387096774195</v>
      </c>
      <c r="U183" s="117">
        <f>474950/31</f>
        <v>15320.967741935483</v>
      </c>
      <c r="V183" s="117"/>
      <c r="W183" s="117">
        <f>684012/31</f>
        <v>22064.903225806451</v>
      </c>
      <c r="X183" s="117">
        <f>998153/31</f>
        <v>32198.483870967742</v>
      </c>
      <c r="Y183" s="117"/>
      <c r="Z183" s="117"/>
      <c r="AA183" s="117">
        <f>14932/31</f>
        <v>481.67741935483872</v>
      </c>
      <c r="AB183" s="117">
        <f>3556/31</f>
        <v>114.70967741935483</v>
      </c>
      <c r="AC183" s="117">
        <f>84229/31</f>
        <v>2717.0645161290322</v>
      </c>
      <c r="AD183" s="117"/>
      <c r="AE183" s="117"/>
      <c r="AF183" s="117"/>
      <c r="AG183" s="117"/>
      <c r="AH183" s="117"/>
      <c r="AI183" s="117">
        <f t="shared" si="15"/>
        <v>113429.0322580645</v>
      </c>
      <c r="AJ183" s="211">
        <f t="shared" si="19"/>
        <v>120028</v>
      </c>
    </row>
    <row r="184" spans="3:36" x14ac:dyDescent="0.2">
      <c r="C184" s="146">
        <f t="shared" si="16"/>
        <v>2008.7499941000087</v>
      </c>
      <c r="D184" s="121">
        <v>39692</v>
      </c>
      <c r="E184" s="117">
        <f>26568/30</f>
        <v>885.6</v>
      </c>
      <c r="F184" s="117">
        <v>700.3</v>
      </c>
      <c r="G184" s="117">
        <f>71376/30</f>
        <v>2379.1999999999998</v>
      </c>
      <c r="H184" s="117">
        <f>44224/30</f>
        <v>1474.1333333333334</v>
      </c>
      <c r="I184" s="117">
        <v>221.56666666666666</v>
      </c>
      <c r="J184" s="272">
        <f>86401/30</f>
        <v>2880.0333333333333</v>
      </c>
      <c r="K184" s="272"/>
      <c r="L184" s="117">
        <v>267.36666666666667</v>
      </c>
      <c r="M184" s="117">
        <f>418980/30</f>
        <v>13966</v>
      </c>
      <c r="N184" s="117"/>
      <c r="O184" s="125">
        <f>82470/30</f>
        <v>2749</v>
      </c>
      <c r="P184" s="117"/>
      <c r="Q184" s="117">
        <f>572/30</f>
        <v>19.066666666666666</v>
      </c>
      <c r="R184" s="117">
        <f>994/30</f>
        <v>33.133333333333333</v>
      </c>
      <c r="S184" s="117">
        <f>323441/30</f>
        <v>10781.366666666667</v>
      </c>
      <c r="T184" s="117">
        <f>93539/30</f>
        <v>3117.9666666666667</v>
      </c>
      <c r="U184" s="117">
        <f>447172/30</f>
        <v>14905.733333333334</v>
      </c>
      <c r="V184" s="117"/>
      <c r="W184" s="117">
        <f>661717/30</f>
        <v>22057.233333333334</v>
      </c>
      <c r="X184" s="117">
        <f>801395/30</f>
        <v>26713.166666666668</v>
      </c>
      <c r="Y184" s="117">
        <f>516776/30</f>
        <v>17225.866666666665</v>
      </c>
      <c r="Z184" s="117"/>
      <c r="AA184" s="117">
        <f>12366/30</f>
        <v>412.2</v>
      </c>
      <c r="AB184" s="117">
        <f>3453/30</f>
        <v>115.1</v>
      </c>
      <c r="AC184" s="117">
        <f>81009/30</f>
        <v>2700.3</v>
      </c>
      <c r="AD184" s="117"/>
      <c r="AE184" s="117"/>
      <c r="AF184" s="117"/>
      <c r="AG184" s="117"/>
      <c r="AH184" s="117"/>
      <c r="AI184" s="117">
        <f t="shared" si="15"/>
        <v>123604.33333333336</v>
      </c>
      <c r="AJ184" s="211">
        <f t="shared" si="19"/>
        <v>120028</v>
      </c>
    </row>
    <row r="185" spans="3:36" x14ac:dyDescent="0.2">
      <c r="C185" s="146">
        <f t="shared" si="16"/>
        <v>2008.8333274000088</v>
      </c>
      <c r="D185" s="121">
        <v>39722</v>
      </c>
      <c r="E185" s="117">
        <v>810</v>
      </c>
      <c r="F185" s="117">
        <v>740</v>
      </c>
      <c r="G185" s="117">
        <v>3265</v>
      </c>
      <c r="H185" s="117">
        <v>1467</v>
      </c>
      <c r="I185" s="117">
        <v>202</v>
      </c>
      <c r="J185" s="272">
        <v>2812</v>
      </c>
      <c r="K185" s="272"/>
      <c r="L185" s="117">
        <v>292</v>
      </c>
      <c r="M185" s="117">
        <v>13614</v>
      </c>
      <c r="N185" s="117"/>
      <c r="O185" s="125">
        <v>3557</v>
      </c>
      <c r="P185" s="117"/>
      <c r="Q185" s="117">
        <f>591/31</f>
        <v>19.06451612903226</v>
      </c>
      <c r="R185" s="117">
        <f>1049/31</f>
        <v>33.838709677419352</v>
      </c>
      <c r="S185" s="117">
        <f>320421/31</f>
        <v>10336.161290322581</v>
      </c>
      <c r="T185" s="117">
        <f>91874/31</f>
        <v>2963.6774193548385</v>
      </c>
      <c r="U185" s="117">
        <f>429363/31</f>
        <v>13850.41935483871</v>
      </c>
      <c r="V185" s="117"/>
      <c r="W185" s="117">
        <f>672743/31</f>
        <v>21701.387096774193</v>
      </c>
      <c r="X185" s="117">
        <f>884752/31</f>
        <v>28540.387096774193</v>
      </c>
      <c r="Y185" s="117">
        <f>1059220/31</f>
        <v>34168.387096774197</v>
      </c>
      <c r="Z185" s="117"/>
      <c r="AA185" s="117">
        <f>11488/31</f>
        <v>370.58064516129031</v>
      </c>
      <c r="AB185" s="117">
        <f>3304/31</f>
        <v>106.58064516129032</v>
      </c>
      <c r="AC185" s="117">
        <f>82971/31</f>
        <v>2676.483870967742</v>
      </c>
      <c r="AD185" s="117"/>
      <c r="AE185" s="117"/>
      <c r="AF185" s="117"/>
      <c r="AG185" s="117"/>
      <c r="AH185" s="117"/>
      <c r="AI185" s="117">
        <f t="shared" si="15"/>
        <v>141525.96774193551</v>
      </c>
      <c r="AJ185" s="211">
        <f t="shared" si="19"/>
        <v>120028</v>
      </c>
    </row>
    <row r="186" spans="3:36" x14ac:dyDescent="0.2">
      <c r="C186" s="146">
        <f t="shared" si="16"/>
        <v>2008.9166607000088</v>
      </c>
      <c r="D186" s="121">
        <v>39753</v>
      </c>
      <c r="E186" s="117">
        <v>818.9666666666667</v>
      </c>
      <c r="F186" s="117">
        <v>729.8</v>
      </c>
      <c r="G186" s="117">
        <f>110749/30</f>
        <v>3691.6333333333332</v>
      </c>
      <c r="H186" s="117">
        <f>42462/30</f>
        <v>1415.4</v>
      </c>
      <c r="I186" s="117">
        <f>5979/30</f>
        <v>199.3</v>
      </c>
      <c r="J186" s="272">
        <f>80326/30</f>
        <v>2677.5333333333333</v>
      </c>
      <c r="K186" s="272"/>
      <c r="L186" s="117">
        <f>8778/30</f>
        <v>292.60000000000002</v>
      </c>
      <c r="M186" s="117">
        <f>445429/30</f>
        <v>14847.633333333333</v>
      </c>
      <c r="N186" s="117"/>
      <c r="O186" s="125">
        <f>118647/30</f>
        <v>3954.9</v>
      </c>
      <c r="P186" s="117"/>
      <c r="Q186" s="117">
        <f>530/30</f>
        <v>17.666666666666668</v>
      </c>
      <c r="R186" s="117">
        <f>1025/30</f>
        <v>34.166666666666664</v>
      </c>
      <c r="S186" s="117">
        <f>358030/30</f>
        <v>11934.333333333334</v>
      </c>
      <c r="T186" s="117">
        <f>89882/30</f>
        <v>2996.0666666666666</v>
      </c>
      <c r="U186" s="117">
        <f>478934/30</f>
        <v>15964.466666666667</v>
      </c>
      <c r="V186" s="117"/>
      <c r="W186" s="117">
        <f>661474/30</f>
        <v>22049.133333333335</v>
      </c>
      <c r="X186" s="117">
        <f>866627/30</f>
        <v>28887.566666666666</v>
      </c>
      <c r="Y186" s="117">
        <f>1019053/30</f>
        <v>33968.433333333334</v>
      </c>
      <c r="Z186" s="117"/>
      <c r="AA186" s="117">
        <f>12142/30</f>
        <v>404.73333333333335</v>
      </c>
      <c r="AB186" s="117">
        <f>1960/30</f>
        <v>65.333333333333329</v>
      </c>
      <c r="AC186" s="117">
        <f>73326/30</f>
        <v>2444.1999999999998</v>
      </c>
      <c r="AD186" s="117"/>
      <c r="AE186" s="117"/>
      <c r="AF186" s="117"/>
      <c r="AG186" s="117"/>
      <c r="AH186" s="117"/>
      <c r="AI186" s="117">
        <f t="shared" si="15"/>
        <v>147393.8666666667</v>
      </c>
      <c r="AJ186" s="211">
        <f t="shared" si="19"/>
        <v>120028</v>
      </c>
    </row>
    <row r="187" spans="3:36" x14ac:dyDescent="0.2">
      <c r="C187" s="146">
        <f t="shared" si="16"/>
        <v>2008.9999940000089</v>
      </c>
      <c r="D187" s="121">
        <v>39783</v>
      </c>
      <c r="E187" s="117">
        <f>25961/31</f>
        <v>837.45161290322585</v>
      </c>
      <c r="F187" s="117">
        <v>719.83870967741939</v>
      </c>
      <c r="G187" s="117">
        <f>137822/31</f>
        <v>4445.8709677419356</v>
      </c>
      <c r="H187" s="117">
        <f>41643/31</f>
        <v>1343.3225806451612</v>
      </c>
      <c r="I187" s="117">
        <f>5602/31</f>
        <v>180.70967741935485</v>
      </c>
      <c r="J187" s="272">
        <f>79547/31</f>
        <v>2566.0322580645161</v>
      </c>
      <c r="K187" s="272"/>
      <c r="L187" s="117">
        <f>9192/31</f>
        <v>296.51612903225805</v>
      </c>
      <c r="M187" s="117">
        <f>452081/31</f>
        <v>14583.258064516129</v>
      </c>
      <c r="N187" s="117"/>
      <c r="O187" s="117">
        <f>88366/31</f>
        <v>2850.516129032258</v>
      </c>
      <c r="P187" s="117"/>
      <c r="Q187" s="117">
        <f>553/31</f>
        <v>17.838709677419356</v>
      </c>
      <c r="R187" s="117">
        <f>1059/31</f>
        <v>34.161290322580648</v>
      </c>
      <c r="S187" s="117">
        <f>277610/31</f>
        <v>8955.1612903225814</v>
      </c>
      <c r="T187" s="117">
        <f>165068/31</f>
        <v>5324.7741935483873</v>
      </c>
      <c r="U187" s="117">
        <f>509409/31</f>
        <v>16432.548387096773</v>
      </c>
      <c r="V187" s="117"/>
      <c r="W187" s="117">
        <f>632218/31</f>
        <v>20394.129032258064</v>
      </c>
      <c r="X187" s="117">
        <f>940377/31</f>
        <v>30334.741935483871</v>
      </c>
      <c r="Y187" s="117">
        <f>1072348/31</f>
        <v>34591.870967741932</v>
      </c>
      <c r="Z187" s="117"/>
      <c r="AA187" s="117">
        <f>11971/31</f>
        <v>386.16129032258067</v>
      </c>
      <c r="AB187" s="117">
        <f>3490/31</f>
        <v>112.58064516129032</v>
      </c>
      <c r="AC187" s="117">
        <f>76364/31</f>
        <v>2463.3548387096776</v>
      </c>
      <c r="AD187" s="117"/>
      <c r="AE187" s="117"/>
      <c r="AF187" s="117"/>
      <c r="AG187" s="117"/>
      <c r="AH187" s="117"/>
      <c r="AI187" s="117">
        <f t="shared" si="15"/>
        <v>146870.83870967742</v>
      </c>
      <c r="AJ187" s="211">
        <f t="shared" si="19"/>
        <v>120028</v>
      </c>
    </row>
    <row r="188" spans="3:36" x14ac:dyDescent="0.2">
      <c r="C188" s="146">
        <f t="shared" ref="C188:C205" si="20">+C187+0.0833333</f>
        <v>2009.0833273000089</v>
      </c>
      <c r="D188" s="121">
        <v>39814</v>
      </c>
      <c r="E188" s="117">
        <f>26268/31</f>
        <v>847.35483870967744</v>
      </c>
      <c r="F188" s="117">
        <f>20763/31</f>
        <v>669.77419354838707</v>
      </c>
      <c r="G188" s="117">
        <f>159814/31</f>
        <v>5155.2903225806449</v>
      </c>
      <c r="H188" s="117">
        <f>39787/31</f>
        <v>1283.4516129032259</v>
      </c>
      <c r="I188" s="117">
        <f>5691/31</f>
        <v>183.58064516129033</v>
      </c>
      <c r="J188" s="272">
        <f>84836/31</f>
        <v>2736.6451612903224</v>
      </c>
      <c r="K188" s="272"/>
      <c r="L188" s="117">
        <f>8970/31</f>
        <v>289.35483870967744</v>
      </c>
      <c r="M188" s="117">
        <f>442120/31</f>
        <v>14261.935483870968</v>
      </c>
      <c r="N188" s="117"/>
      <c r="O188" s="117">
        <f>97954/31</f>
        <v>3159.8064516129034</v>
      </c>
      <c r="P188" s="117"/>
      <c r="Q188" s="117">
        <f>583/31</f>
        <v>18.806451612903224</v>
      </c>
      <c r="R188" s="117">
        <f>1121/31</f>
        <v>36.161290322580648</v>
      </c>
      <c r="S188" s="117">
        <f>400484/31</f>
        <v>12918.838709677419</v>
      </c>
      <c r="T188" s="117">
        <f>167353/31</f>
        <v>5398.4838709677415</v>
      </c>
      <c r="U188" s="117">
        <f>500691/31</f>
        <v>16151.322580645161</v>
      </c>
      <c r="V188" s="117"/>
      <c r="W188" s="117">
        <f>507671/31</f>
        <v>16376.483870967742</v>
      </c>
      <c r="X188" s="117">
        <f>956636/31</f>
        <v>30859.225806451614</v>
      </c>
      <c r="Y188" s="117">
        <f>1086552/31</f>
        <v>35050.06451612903</v>
      </c>
      <c r="Z188" s="117"/>
      <c r="AA188" s="117">
        <f>8187/31</f>
        <v>264.09677419354841</v>
      </c>
      <c r="AB188" s="117">
        <f>1295/31</f>
        <v>41.774193548387096</v>
      </c>
      <c r="AC188" s="117">
        <f>84859/31</f>
        <v>2737.3870967741937</v>
      </c>
      <c r="AD188" s="117"/>
      <c r="AE188" s="117"/>
      <c r="AF188" s="117"/>
      <c r="AG188" s="117"/>
      <c r="AH188" s="117"/>
      <c r="AI188" s="117">
        <f t="shared" si="15"/>
        <v>148439.83870967739</v>
      </c>
      <c r="AJ188" s="211">
        <v>145280</v>
      </c>
    </row>
    <row r="189" spans="3:36" x14ac:dyDescent="0.2">
      <c r="C189" s="146">
        <f t="shared" si="20"/>
        <v>2009.166660600009</v>
      </c>
      <c r="D189" s="121">
        <v>39845</v>
      </c>
      <c r="E189" s="117">
        <f>23332/28</f>
        <v>833.28571428571433</v>
      </c>
      <c r="F189" s="117">
        <f>18470/28</f>
        <v>659.64285714285711</v>
      </c>
      <c r="G189" s="117">
        <f>135801/28</f>
        <v>4850.0357142857147</v>
      </c>
      <c r="H189" s="117">
        <f>35764/28</f>
        <v>1277.2857142857142</v>
      </c>
      <c r="I189" s="117">
        <f>4464/28</f>
        <v>159.42857142857142</v>
      </c>
      <c r="J189" s="272">
        <f>77894/28</f>
        <v>2781.9285714285716</v>
      </c>
      <c r="K189" s="272"/>
      <c r="L189" s="117">
        <f>7814/28</f>
        <v>279.07142857142856</v>
      </c>
      <c r="M189" s="117">
        <f>387941/28</f>
        <v>13855.035714285714</v>
      </c>
      <c r="N189" s="117"/>
      <c r="O189" s="117">
        <f>98586/28</f>
        <v>3520.9285714285716</v>
      </c>
      <c r="P189" s="117"/>
      <c r="Q189" s="117">
        <f>562/28</f>
        <v>20.071428571428573</v>
      </c>
      <c r="R189" s="117">
        <f>1025/28</f>
        <v>36.607142857142854</v>
      </c>
      <c r="S189" s="117">
        <f>302911/28</f>
        <v>10818.25</v>
      </c>
      <c r="T189" s="117">
        <f>82336/28</f>
        <v>2940.5714285714284</v>
      </c>
      <c r="U189" s="117">
        <f>425397/28</f>
        <v>15192.75</v>
      </c>
      <c r="V189" s="117"/>
      <c r="W189" s="117">
        <f>424442/28</f>
        <v>15158.642857142857</v>
      </c>
      <c r="X189" s="117">
        <f>869138/28</f>
        <v>31040.642857142859</v>
      </c>
      <c r="Y189" s="117">
        <f>968018/28</f>
        <v>34572.071428571428</v>
      </c>
      <c r="Z189" s="117"/>
      <c r="AA189" s="117">
        <f>11741/28</f>
        <v>419.32142857142856</v>
      </c>
      <c r="AB189" s="117">
        <f>3466/28</f>
        <v>123.78571428571429</v>
      </c>
      <c r="AC189" s="117">
        <f>74541/28</f>
        <v>2662.1785714285716</v>
      </c>
      <c r="AD189" s="117"/>
      <c r="AE189" s="117"/>
      <c r="AF189" s="117"/>
      <c r="AG189" s="117"/>
      <c r="AH189" s="117"/>
      <c r="AI189" s="117">
        <f t="shared" si="15"/>
        <v>141201.53571428571</v>
      </c>
      <c r="AJ189" s="211">
        <f t="shared" ref="AJ189:AJ207" si="21">+AJ188</f>
        <v>145280</v>
      </c>
    </row>
    <row r="190" spans="3:36" x14ac:dyDescent="0.2">
      <c r="C190" s="146">
        <f t="shared" si="20"/>
        <v>2009.249993900009</v>
      </c>
      <c r="D190" s="121">
        <v>39873</v>
      </c>
      <c r="E190" s="117">
        <f>24999/31</f>
        <v>806.41935483870964</v>
      </c>
      <c r="F190" s="117">
        <f>20242/31</f>
        <v>652.9677419354839</v>
      </c>
      <c r="G190" s="117">
        <f>151809/31</f>
        <v>4897.0645161290322</v>
      </c>
      <c r="H190" s="117">
        <f>38367/31</f>
        <v>1237.6451612903227</v>
      </c>
      <c r="I190" s="117">
        <f>5380/31</f>
        <v>173.54838709677421</v>
      </c>
      <c r="J190" s="272">
        <f>85996/31</f>
        <v>2774.0645161290322</v>
      </c>
      <c r="K190" s="272"/>
      <c r="L190" s="117">
        <f>8355/31</f>
        <v>269.51612903225805</v>
      </c>
      <c r="M190" s="117">
        <f>418073/31</f>
        <v>13486.225806451614</v>
      </c>
      <c r="N190" s="117"/>
      <c r="O190" s="117">
        <f>90502/31</f>
        <v>2919.4193548387098</v>
      </c>
      <c r="P190" s="117"/>
      <c r="Q190" s="117">
        <f>547/31</f>
        <v>17.64516129032258</v>
      </c>
      <c r="R190" s="117">
        <f>1251/31</f>
        <v>40.354838709677416</v>
      </c>
      <c r="S190" s="117">
        <f>343685/31</f>
        <v>11086.612903225807</v>
      </c>
      <c r="T190" s="117">
        <f>122927/31</f>
        <v>3965.3870967741937</v>
      </c>
      <c r="U190" s="117">
        <f>480852/31</f>
        <v>15511.354838709678</v>
      </c>
      <c r="V190" s="117"/>
      <c r="W190" s="117">
        <f>499074/31</f>
        <v>16099.161290322581</v>
      </c>
      <c r="X190" s="117">
        <f>1029443/31</f>
        <v>33207.838709677417</v>
      </c>
      <c r="Y190" s="117">
        <f>1084999/31</f>
        <v>34999.967741935485</v>
      </c>
      <c r="Z190" s="117"/>
      <c r="AA190" s="117">
        <f>11945/31</f>
        <v>385.32258064516128</v>
      </c>
      <c r="AB190" s="117">
        <f>2834/31</f>
        <v>91.41935483870968</v>
      </c>
      <c r="AC190" s="117">
        <f>82720/31</f>
        <v>2668.3870967741937</v>
      </c>
      <c r="AD190" s="117"/>
      <c r="AE190" s="117"/>
      <c r="AF190" s="117"/>
      <c r="AG190" s="117"/>
      <c r="AH190" s="117"/>
      <c r="AI190" s="117">
        <f t="shared" si="15"/>
        <v>145290.32258064512</v>
      </c>
      <c r="AJ190" s="211">
        <f t="shared" si="21"/>
        <v>145280</v>
      </c>
    </row>
    <row r="191" spans="3:36" x14ac:dyDescent="0.2">
      <c r="C191" s="146">
        <f t="shared" si="20"/>
        <v>2009.3333272000091</v>
      </c>
      <c r="D191" s="121">
        <v>39904</v>
      </c>
      <c r="E191" s="117">
        <f>24358/30</f>
        <v>811.93333333333328</v>
      </c>
      <c r="F191" s="117">
        <f>19594/30</f>
        <v>653.13333333333333</v>
      </c>
      <c r="G191" s="117">
        <f>135941/30</f>
        <v>4531.3666666666668</v>
      </c>
      <c r="H191" s="117">
        <f>37792/30</f>
        <v>1259.7333333333333</v>
      </c>
      <c r="I191" s="117">
        <f>4976/30</f>
        <v>165.86666666666667</v>
      </c>
      <c r="J191" s="272">
        <f>79835/30</f>
        <v>2661.1666666666665</v>
      </c>
      <c r="K191" s="272"/>
      <c r="L191" s="117">
        <f>7790/30</f>
        <v>259.66666666666669</v>
      </c>
      <c r="M191" s="117">
        <f>400530/30</f>
        <v>13351</v>
      </c>
      <c r="N191" s="117"/>
      <c r="O191" s="117">
        <f>113046/30</f>
        <v>3768.2</v>
      </c>
      <c r="P191" s="117"/>
      <c r="Q191" s="117">
        <f>575/30</f>
        <v>19.166666666666668</v>
      </c>
      <c r="R191" s="117">
        <f>1258/30</f>
        <v>41.93333333333333</v>
      </c>
      <c r="S191" s="117">
        <f>306046/30</f>
        <v>10201.533333333333</v>
      </c>
      <c r="T191" s="117">
        <f>83055/30</f>
        <v>2768.5</v>
      </c>
      <c r="U191" s="117">
        <f>434921/30</f>
        <v>14497.366666666667</v>
      </c>
      <c r="V191" s="117"/>
      <c r="W191" s="117">
        <f>503098/30</f>
        <v>16769.933333333334</v>
      </c>
      <c r="X191" s="117">
        <f>869625/30</f>
        <v>28987.5</v>
      </c>
      <c r="Y191" s="117">
        <f>929021/30</f>
        <v>30967.366666666665</v>
      </c>
      <c r="Z191" s="117"/>
      <c r="AA191" s="117">
        <f>10693/30</f>
        <v>356.43333333333334</v>
      </c>
      <c r="AB191" s="117">
        <f>2216/30</f>
        <v>73.86666666666666</v>
      </c>
      <c r="AC191" s="117">
        <f>79438/30</f>
        <v>2647.9333333333334</v>
      </c>
      <c r="AD191" s="117"/>
      <c r="AE191" s="117"/>
      <c r="AF191" s="117"/>
      <c r="AG191" s="117"/>
      <c r="AH191" s="117"/>
      <c r="AI191" s="117">
        <f t="shared" si="15"/>
        <v>134793.59999999998</v>
      </c>
      <c r="AJ191" s="211">
        <f t="shared" si="21"/>
        <v>145280</v>
      </c>
    </row>
    <row r="192" spans="3:36" x14ac:dyDescent="0.2">
      <c r="C192" s="146">
        <f t="shared" si="20"/>
        <v>2009.4166605000091</v>
      </c>
      <c r="D192" s="121">
        <v>39934</v>
      </c>
      <c r="E192" s="117">
        <f>25566/31</f>
        <v>824.70967741935488</v>
      </c>
      <c r="F192" s="117">
        <f>20461/31</f>
        <v>660.0322580645161</v>
      </c>
      <c r="G192" s="117">
        <f>141067/31</f>
        <v>4550.5483870967746</v>
      </c>
      <c r="H192" s="117">
        <f>37494/31</f>
        <v>1209.483870967742</v>
      </c>
      <c r="I192" s="117">
        <f>5230/31</f>
        <v>168.70967741935485</v>
      </c>
      <c r="J192" s="272">
        <f>85955/31</f>
        <v>2772.7419354838707</v>
      </c>
      <c r="K192" s="272"/>
      <c r="L192" s="117">
        <f>8082/31</f>
        <v>260.70967741935482</v>
      </c>
      <c r="M192" s="117">
        <f>409390/31</f>
        <v>13206.129032258064</v>
      </c>
      <c r="N192" s="117"/>
      <c r="O192" s="117">
        <f>125892/31</f>
        <v>4061.0322580645161</v>
      </c>
      <c r="P192" s="117"/>
      <c r="Q192" s="117">
        <f>564/31</f>
        <v>18.193548387096776</v>
      </c>
      <c r="R192" s="117">
        <f>1282/31</f>
        <v>41.354838709677416</v>
      </c>
      <c r="S192" s="117">
        <f>350208/31</f>
        <v>11297.032258064517</v>
      </c>
      <c r="T192" s="117">
        <f>41799/31</f>
        <v>1348.3548387096773</v>
      </c>
      <c r="U192" s="117">
        <f>391522/31</f>
        <v>12629.741935483871</v>
      </c>
      <c r="V192" s="117"/>
      <c r="W192" s="117">
        <f>325744/31</f>
        <v>10507.870967741936</v>
      </c>
      <c r="X192" s="117">
        <f>1062940/31</f>
        <v>34288.387096774197</v>
      </c>
      <c r="Y192" s="117">
        <f>1128986/31</f>
        <v>36418.903225806454</v>
      </c>
      <c r="Z192" s="117"/>
      <c r="AA192" s="117">
        <f>11218/31</f>
        <v>361.87096774193549</v>
      </c>
      <c r="AB192" s="117">
        <f>3711/31</f>
        <v>119.70967741935483</v>
      </c>
      <c r="AC192" s="117">
        <f>82295/31</f>
        <v>2654.6774193548385</v>
      </c>
      <c r="AD192" s="117"/>
      <c r="AE192" s="117"/>
      <c r="AF192" s="117"/>
      <c r="AG192" s="117"/>
      <c r="AH192" s="117"/>
      <c r="AI192" s="117">
        <f t="shared" si="15"/>
        <v>137400.19354838712</v>
      </c>
      <c r="AJ192" s="211">
        <f t="shared" si="21"/>
        <v>145280</v>
      </c>
    </row>
    <row r="193" spans="3:63" x14ac:dyDescent="0.2">
      <c r="C193" s="146">
        <f t="shared" si="20"/>
        <v>2009.4999938000092</v>
      </c>
      <c r="D193" s="121">
        <v>39965</v>
      </c>
      <c r="E193" s="117">
        <f>24894/30</f>
        <v>829.8</v>
      </c>
      <c r="F193" s="117">
        <f>20198/30</f>
        <v>673.26666666666665</v>
      </c>
      <c r="G193" s="117">
        <f>123253/30</f>
        <v>4108.4333333333334</v>
      </c>
      <c r="H193" s="117">
        <f>34743/30</f>
        <v>1158.0999999999999</v>
      </c>
      <c r="I193" s="117">
        <f>5168/30</f>
        <v>172.26666666666668</v>
      </c>
      <c r="J193" s="272">
        <f>83911/30</f>
        <v>2797.0333333333333</v>
      </c>
      <c r="K193" s="272"/>
      <c r="L193" s="117">
        <f>7789/30</f>
        <v>259.63333333333333</v>
      </c>
      <c r="M193" s="117">
        <f>395520/30</f>
        <v>13184</v>
      </c>
      <c r="N193" s="117"/>
      <c r="O193" s="117">
        <f>103479/30</f>
        <v>3449.3</v>
      </c>
      <c r="P193" s="117"/>
      <c r="Q193" s="117">
        <f>583/30</f>
        <v>19.433333333333334</v>
      </c>
      <c r="R193" s="117">
        <f>1256/30</f>
        <v>41.866666666666667</v>
      </c>
      <c r="S193" s="117">
        <f>251011/30</f>
        <v>8367.0333333333328</v>
      </c>
      <c r="T193" s="117">
        <f>80983/30</f>
        <v>2699.4333333333334</v>
      </c>
      <c r="U193" s="117">
        <f>384326/30</f>
        <v>12810.866666666667</v>
      </c>
      <c r="V193" s="117"/>
      <c r="W193" s="117">
        <f>339773/30</f>
        <v>11325.766666666666</v>
      </c>
      <c r="X193" s="117">
        <f>1042234/30</f>
        <v>34741.133333333331</v>
      </c>
      <c r="Y193" s="117">
        <f>1091616/30</f>
        <v>36387.199999999997</v>
      </c>
      <c r="Z193" s="117"/>
      <c r="AA193" s="117">
        <f>9124/30</f>
        <v>304.13333333333333</v>
      </c>
      <c r="AB193" s="117">
        <f>1399/30</f>
        <v>46.633333333333333</v>
      </c>
      <c r="AC193" s="117">
        <f>67641/30</f>
        <v>2254.6999999999998</v>
      </c>
      <c r="AD193" s="117"/>
      <c r="AE193" s="117"/>
      <c r="AF193" s="117"/>
      <c r="AG193" s="117"/>
      <c r="AH193" s="117"/>
      <c r="AI193" s="117">
        <f t="shared" si="15"/>
        <v>135630.03333333333</v>
      </c>
      <c r="AJ193" s="211">
        <f t="shared" si="21"/>
        <v>145280</v>
      </c>
    </row>
    <row r="194" spans="3:63" x14ac:dyDescent="0.2">
      <c r="C194" s="146">
        <f t="shared" si="20"/>
        <v>2009.5833271000092</v>
      </c>
      <c r="D194" s="121">
        <v>39995</v>
      </c>
      <c r="E194" s="117">
        <f>24682/31</f>
        <v>796.19354838709683</v>
      </c>
      <c r="F194" s="127">
        <f>20152/31</f>
        <v>650.06451612903231</v>
      </c>
      <c r="G194" s="117">
        <f>112443/31</f>
        <v>3627.1935483870966</v>
      </c>
      <c r="H194" s="117">
        <f>34454/31</f>
        <v>1111.4193548387098</v>
      </c>
      <c r="I194" s="117">
        <f>5489/31</f>
        <v>177.06451612903226</v>
      </c>
      <c r="J194" s="272">
        <f>84624/31</f>
        <v>2729.8064516129034</v>
      </c>
      <c r="K194" s="272"/>
      <c r="L194" s="117">
        <f>8208/31</f>
        <v>264.77419354838707</v>
      </c>
      <c r="M194" s="117">
        <f>404131/31</f>
        <v>13036.483870967742</v>
      </c>
      <c r="N194" s="117"/>
      <c r="O194" s="117">
        <f>93992/31</f>
        <v>3032</v>
      </c>
      <c r="P194" s="117"/>
      <c r="Q194" s="117">
        <f>525/31</f>
        <v>16.93548387096774</v>
      </c>
      <c r="R194" s="117">
        <f>1232/31</f>
        <v>39.741935483870968</v>
      </c>
      <c r="S194" s="117">
        <f>329653/31</f>
        <v>10633.967741935483</v>
      </c>
      <c r="T194" s="117">
        <f>82953/31</f>
        <v>2675.9032258064517</v>
      </c>
      <c r="U194" s="117">
        <f>442102/31</f>
        <v>14261.354838709678</v>
      </c>
      <c r="V194" s="117"/>
      <c r="W194" s="117">
        <f>532890/31</f>
        <v>17190</v>
      </c>
      <c r="X194" s="117">
        <f>1235209/31</f>
        <v>39845.451612903227</v>
      </c>
      <c r="Y194" s="117">
        <f>1063607/31</f>
        <v>34309.903225806454</v>
      </c>
      <c r="Z194" s="117"/>
      <c r="AA194" s="117">
        <f>11629/31</f>
        <v>375.12903225806451</v>
      </c>
      <c r="AB194" s="117">
        <f>4626/31</f>
        <v>149.2258064516129</v>
      </c>
      <c r="AC194" s="117">
        <f>86957/31</f>
        <v>2805.0645161290322</v>
      </c>
      <c r="AD194" s="117"/>
      <c r="AE194" s="117"/>
      <c r="AF194" s="117"/>
      <c r="AG194" s="117"/>
      <c r="AH194" s="117"/>
      <c r="AI194" s="117">
        <f t="shared" si="15"/>
        <v>147727.67741935482</v>
      </c>
      <c r="AJ194" s="211">
        <f t="shared" si="21"/>
        <v>145280</v>
      </c>
    </row>
    <row r="195" spans="3:63" x14ac:dyDescent="0.2">
      <c r="C195" s="146">
        <f t="shared" si="20"/>
        <v>2009.6666604000093</v>
      </c>
      <c r="D195" s="121">
        <v>40026</v>
      </c>
      <c r="E195" s="117">
        <f>25484/31</f>
        <v>822.06451612903231</v>
      </c>
      <c r="F195" s="117">
        <v>644.93548387096769</v>
      </c>
      <c r="G195" s="117">
        <f>107467/31</f>
        <v>3466.6774193548385</v>
      </c>
      <c r="H195" s="117">
        <f>34461/31</f>
        <v>1111.6451612903227</v>
      </c>
      <c r="I195" s="117">
        <v>153.96774193548387</v>
      </c>
      <c r="J195" s="272">
        <f>90419/31</f>
        <v>2916.7419354838707</v>
      </c>
      <c r="K195" s="272"/>
      <c r="L195" s="117">
        <v>256.67741935483872</v>
      </c>
      <c r="M195" s="117">
        <f>413519/31</f>
        <v>13339.322580645161</v>
      </c>
      <c r="N195" s="117"/>
      <c r="O195" s="117">
        <f>99420/31</f>
        <v>3207.0967741935483</v>
      </c>
      <c r="P195" s="117"/>
      <c r="Q195" s="117">
        <f>561/31</f>
        <v>18.096774193548388</v>
      </c>
      <c r="R195" s="117">
        <f>1263/31</f>
        <v>40.741935483870968</v>
      </c>
      <c r="S195" s="117">
        <f>347109/31</f>
        <v>11197.064516129032</v>
      </c>
      <c r="T195" s="117">
        <f>83379/31</f>
        <v>2689.6451612903224</v>
      </c>
      <c r="U195" s="117">
        <f>383568/31</f>
        <v>12373.161290322581</v>
      </c>
      <c r="V195" s="117"/>
      <c r="W195" s="117">
        <f>553105/31</f>
        <v>17842.096774193549</v>
      </c>
      <c r="X195" s="117">
        <f>1232778/31</f>
        <v>39767.032258064515</v>
      </c>
      <c r="Y195" s="117">
        <f>1056233/31</f>
        <v>34072.032258064515</v>
      </c>
      <c r="Z195" s="117"/>
      <c r="AA195" s="117">
        <f>12203/31</f>
        <v>393.64516129032256</v>
      </c>
      <c r="AB195" s="117">
        <f>3823/31</f>
        <v>123.3225806451613</v>
      </c>
      <c r="AC195" s="117">
        <f>86725/31</f>
        <v>2797.5806451612902</v>
      </c>
      <c r="AD195" s="117"/>
      <c r="AE195" s="117"/>
      <c r="AF195" s="117"/>
      <c r="AG195" s="117"/>
      <c r="AH195" s="117"/>
      <c r="AI195" s="117">
        <f t="shared" si="15"/>
        <v>147233.54838709679</v>
      </c>
      <c r="AJ195" s="211">
        <f t="shared" si="21"/>
        <v>145280</v>
      </c>
    </row>
    <row r="196" spans="3:63" x14ac:dyDescent="0.2">
      <c r="C196" s="146">
        <f t="shared" si="20"/>
        <v>2009.7499937000093</v>
      </c>
      <c r="D196" s="121">
        <v>40057</v>
      </c>
      <c r="E196" s="117">
        <f>24770/30</f>
        <v>825.66666666666663</v>
      </c>
      <c r="F196" s="117">
        <f>19078/30</f>
        <v>635.93333333333328</v>
      </c>
      <c r="G196" s="117">
        <f>95066/30</f>
        <v>3168.8666666666668</v>
      </c>
      <c r="H196" s="117">
        <f>32786/30</f>
        <v>1092.8666666666666</v>
      </c>
      <c r="I196" s="117">
        <f>5001/30</f>
        <v>166.7</v>
      </c>
      <c r="J196" s="272">
        <f>90750/30</f>
        <v>3025</v>
      </c>
      <c r="K196" s="272"/>
      <c r="L196" s="117">
        <f>7588/30</f>
        <v>252.93333333333334</v>
      </c>
      <c r="M196" s="117">
        <f>394149/30</f>
        <v>13138.3</v>
      </c>
      <c r="N196" s="117"/>
      <c r="O196" s="117">
        <f>79913/30</f>
        <v>2663.7666666666669</v>
      </c>
      <c r="P196" s="117"/>
      <c r="Q196" s="117">
        <f>567/30</f>
        <v>18.899999999999999</v>
      </c>
      <c r="R196" s="117">
        <f>1264/30</f>
        <v>42.133333333333333</v>
      </c>
      <c r="S196" s="117">
        <f>457335/30</f>
        <v>15244.5</v>
      </c>
      <c r="T196" s="117">
        <f>41074/30</f>
        <v>1369.1333333333334</v>
      </c>
      <c r="U196" s="117">
        <f>397501/30</f>
        <v>13250.033333333333</v>
      </c>
      <c r="V196" s="117"/>
      <c r="W196" s="117">
        <f>555815/30</f>
        <v>18527.166666666668</v>
      </c>
      <c r="X196" s="117">
        <f>1225546/30</f>
        <v>40851.533333333333</v>
      </c>
      <c r="Y196" s="117">
        <f>998844/30</f>
        <v>33294.800000000003</v>
      </c>
      <c r="Z196" s="117"/>
      <c r="AA196" s="117">
        <f>9141/30</f>
        <v>304.7</v>
      </c>
      <c r="AB196" s="117">
        <f>2656/30</f>
        <v>88.533333333333331</v>
      </c>
      <c r="AC196" s="117">
        <f>74638/30</f>
        <v>2487.9333333333334</v>
      </c>
      <c r="AD196" s="117"/>
      <c r="AE196" s="117"/>
      <c r="AF196" s="117"/>
      <c r="AG196" s="117"/>
      <c r="AH196" s="117"/>
      <c r="AI196" s="117">
        <f t="shared" si="15"/>
        <v>150449.4</v>
      </c>
      <c r="AJ196" s="211">
        <f t="shared" si="21"/>
        <v>145280</v>
      </c>
    </row>
    <row r="197" spans="3:63" x14ac:dyDescent="0.2">
      <c r="C197" s="146">
        <f t="shared" si="20"/>
        <v>2009.8333270000094</v>
      </c>
      <c r="D197" s="121">
        <v>40087</v>
      </c>
      <c r="E197" s="117">
        <v>803.25806451612902</v>
      </c>
      <c r="F197" s="117">
        <v>624.90322580645159</v>
      </c>
      <c r="G197" s="117">
        <f>97765/31</f>
        <v>3153.7096774193546</v>
      </c>
      <c r="H197" s="117">
        <v>1052.9677419354839</v>
      </c>
      <c r="I197" s="117">
        <v>155.64516129032259</v>
      </c>
      <c r="J197" s="272">
        <f>107300/31</f>
        <v>3461.2903225806454</v>
      </c>
      <c r="K197" s="272"/>
      <c r="L197" s="117">
        <v>248.87096774193549</v>
      </c>
      <c r="M197" s="117">
        <f>405302/31</f>
        <v>13074.258064516129</v>
      </c>
      <c r="N197" s="117"/>
      <c r="O197" s="117">
        <f>103208/31</f>
        <v>3329.2903225806454</v>
      </c>
      <c r="P197" s="117"/>
      <c r="Q197" s="117">
        <v>17.64516129032258</v>
      </c>
      <c r="R197" s="117">
        <v>64.225806451612897</v>
      </c>
      <c r="S197" s="117">
        <f>372769/31</f>
        <v>12024.806451612903</v>
      </c>
      <c r="T197" s="117">
        <f>82466/31</f>
        <v>2660.1935483870966</v>
      </c>
      <c r="U197" s="117">
        <f>397649/31</f>
        <v>12827.387096774193</v>
      </c>
      <c r="V197" s="117"/>
      <c r="W197" s="117">
        <f>572805/31</f>
        <v>18477.580645161292</v>
      </c>
      <c r="X197" s="117">
        <f>1221610/31</f>
        <v>39406.774193548386</v>
      </c>
      <c r="Y197" s="117">
        <f>1060820/31</f>
        <v>34220</v>
      </c>
      <c r="Z197" s="117"/>
      <c r="AA197" s="117">
        <f>12011/31</f>
        <v>387.45161290322579</v>
      </c>
      <c r="AB197" s="117">
        <v>121.25806451612904</v>
      </c>
      <c r="AC197" s="117">
        <f>86237/31</f>
        <v>2781.8387096774195</v>
      </c>
      <c r="AD197" s="117"/>
      <c r="AE197" s="117"/>
      <c r="AF197" s="117"/>
      <c r="AG197" s="117"/>
      <c r="AH197" s="117"/>
      <c r="AI197" s="117">
        <f t="shared" si="15"/>
        <v>148893.35483870967</v>
      </c>
      <c r="AJ197" s="211">
        <f t="shared" si="21"/>
        <v>145280</v>
      </c>
    </row>
    <row r="198" spans="3:63" x14ac:dyDescent="0.2">
      <c r="C198" s="146">
        <f t="shared" si="20"/>
        <v>2009.9166603000094</v>
      </c>
      <c r="D198" s="121">
        <v>40118</v>
      </c>
      <c r="E198" s="117">
        <v>806.43333333333328</v>
      </c>
      <c r="F198" s="117">
        <v>602.63333333333333</v>
      </c>
      <c r="G198" s="117">
        <f>90122/30</f>
        <v>3004.0666666666666</v>
      </c>
      <c r="H198" s="117">
        <v>1031.7666666666667</v>
      </c>
      <c r="I198" s="117">
        <v>180.36666666666667</v>
      </c>
      <c r="J198" s="272">
        <f>108534/30</f>
        <v>3617.8</v>
      </c>
      <c r="K198" s="272"/>
      <c r="L198" s="117">
        <v>248.13333333333333</v>
      </c>
      <c r="M198" s="117">
        <f>390209/30</f>
        <v>13006.966666666667</v>
      </c>
      <c r="N198" s="117"/>
      <c r="O198" s="117">
        <f>89666/30</f>
        <v>2988.8666666666668</v>
      </c>
      <c r="P198" s="117"/>
      <c r="Q198" s="117">
        <v>19.2</v>
      </c>
      <c r="R198" s="117">
        <v>62.466666666666669</v>
      </c>
      <c r="S198" s="117">
        <f>424925/30</f>
        <v>14164.166666666666</v>
      </c>
      <c r="T198" s="117">
        <f>71566/30</f>
        <v>2385.5333333333333</v>
      </c>
      <c r="U198" s="117">
        <f>359281/30</f>
        <v>11976.033333333333</v>
      </c>
      <c r="V198" s="117"/>
      <c r="W198" s="117">
        <f>566280/30</f>
        <v>18876</v>
      </c>
      <c r="X198" s="117">
        <f>1271486/30</f>
        <v>42382.866666666669</v>
      </c>
      <c r="Y198" s="117">
        <f>1023335/30</f>
        <v>34111.166666666664</v>
      </c>
      <c r="Z198" s="117"/>
      <c r="AA198" s="125">
        <f>11746/30</f>
        <v>391.53333333333336</v>
      </c>
      <c r="AB198" s="125">
        <f>3347/30</f>
        <v>111.56666666666666</v>
      </c>
      <c r="AC198" s="117">
        <f>81868/30</f>
        <v>2728.9333333333334</v>
      </c>
      <c r="AD198" s="117"/>
      <c r="AE198" s="117"/>
      <c r="AF198" s="117"/>
      <c r="AG198" s="117"/>
      <c r="AH198" s="117"/>
      <c r="AI198" s="117">
        <f t="shared" si="15"/>
        <v>152696.5</v>
      </c>
      <c r="AJ198" s="211">
        <f t="shared" si="21"/>
        <v>145280</v>
      </c>
    </row>
    <row r="199" spans="3:63" x14ac:dyDescent="0.2">
      <c r="C199" s="146">
        <f t="shared" si="20"/>
        <v>2009.9999936000095</v>
      </c>
      <c r="D199" s="121">
        <v>40148</v>
      </c>
      <c r="E199" s="117">
        <v>826.25806451612902</v>
      </c>
      <c r="F199" s="117">
        <v>611</v>
      </c>
      <c r="G199" s="117">
        <f>117597/31</f>
        <v>3793.4516129032259</v>
      </c>
      <c r="H199" s="117">
        <v>1035</v>
      </c>
      <c r="I199" s="117">
        <v>173.48387096774192</v>
      </c>
      <c r="J199" s="272">
        <f>103950/31</f>
        <v>3353.2258064516127</v>
      </c>
      <c r="K199" s="272"/>
      <c r="L199" s="117">
        <v>250.7741935483871</v>
      </c>
      <c r="M199" s="117">
        <f>407216/31</f>
        <v>13136</v>
      </c>
      <c r="N199" s="117"/>
      <c r="O199" s="117">
        <f>78291/31</f>
        <v>2525.516129032258</v>
      </c>
      <c r="P199" s="117"/>
      <c r="Q199" s="117">
        <v>18.967741935483872</v>
      </c>
      <c r="R199" s="117">
        <v>58.612903225806448</v>
      </c>
      <c r="S199" s="117">
        <f>387674/31</f>
        <v>12505.612903225807</v>
      </c>
      <c r="T199" s="117">
        <f>64392/31</f>
        <v>2077.1612903225805</v>
      </c>
      <c r="U199" s="117">
        <f>378233/31</f>
        <v>12201.064516129032</v>
      </c>
      <c r="V199" s="117"/>
      <c r="W199" s="117">
        <f>600061/31</f>
        <v>19356.806451612902</v>
      </c>
      <c r="X199" s="117">
        <f>1338558/31</f>
        <v>43179.290322580644</v>
      </c>
      <c r="Y199" s="117">
        <f>1076583/31</f>
        <v>34728.483870967742</v>
      </c>
      <c r="Z199" s="117"/>
      <c r="AA199" s="117">
        <f>9333/31</f>
        <v>301.06451612903226</v>
      </c>
      <c r="AB199" s="117">
        <f>2435/31</f>
        <v>78.548387096774192</v>
      </c>
      <c r="AC199" s="117">
        <f>85246/31</f>
        <v>2749.8709677419356</v>
      </c>
      <c r="AD199" s="117"/>
      <c r="AE199" s="117"/>
      <c r="AF199" s="117"/>
      <c r="AG199" s="117"/>
      <c r="AH199" s="117"/>
      <c r="AI199" s="117">
        <f t="shared" si="15"/>
        <v>152960.19354838709</v>
      </c>
      <c r="AJ199" s="211">
        <f t="shared" si="21"/>
        <v>145280</v>
      </c>
    </row>
    <row r="200" spans="3:63" x14ac:dyDescent="0.2">
      <c r="C200" s="146">
        <f t="shared" si="20"/>
        <v>2010.0833269000095</v>
      </c>
      <c r="D200" s="121">
        <v>40179</v>
      </c>
      <c r="E200" s="117">
        <v>894.93548387096769</v>
      </c>
      <c r="F200" s="117">
        <v>608.38709677419354</v>
      </c>
      <c r="G200" s="117">
        <f>120555/31</f>
        <v>3888.8709677419356</v>
      </c>
      <c r="H200" s="117">
        <v>1033.3548387096773</v>
      </c>
      <c r="I200" s="117">
        <v>228.87096774193549</v>
      </c>
      <c r="J200" s="272">
        <f>120268/31</f>
        <v>3879.6129032258063</v>
      </c>
      <c r="K200" s="272"/>
      <c r="L200" s="117">
        <v>249.70967741935485</v>
      </c>
      <c r="M200" s="117">
        <f>404903/31</f>
        <v>13061.387096774193</v>
      </c>
      <c r="N200" s="117"/>
      <c r="O200" s="117">
        <f>113629/31</f>
        <v>3665.4516129032259</v>
      </c>
      <c r="P200" s="117"/>
      <c r="Q200" s="117">
        <v>18.387096774193548</v>
      </c>
      <c r="R200" s="117">
        <v>56.70967741935484</v>
      </c>
      <c r="S200" s="117">
        <f>392461/31</f>
        <v>12660.032258064517</v>
      </c>
      <c r="T200" s="117">
        <f>58037/31</f>
        <v>1872.1612903225807</v>
      </c>
      <c r="U200" s="117">
        <f>394869/31</f>
        <v>12737.709677419354</v>
      </c>
      <c r="V200" s="117"/>
      <c r="W200" s="117">
        <f>583967/31</f>
        <v>18837.645161290322</v>
      </c>
      <c r="X200" s="117">
        <f>1346826/31</f>
        <v>43446</v>
      </c>
      <c r="Y200" s="117">
        <f>1026372/31</f>
        <v>33108.774193548386</v>
      </c>
      <c r="Z200" s="117"/>
      <c r="AA200" s="117">
        <v>380.87096774193549</v>
      </c>
      <c r="AB200" s="117">
        <v>115.25806451612904</v>
      </c>
      <c r="AC200" s="117">
        <f>84089/31</f>
        <v>2712.5483870967741</v>
      </c>
      <c r="AD200" s="117"/>
      <c r="AE200" s="117"/>
      <c r="AF200" s="117"/>
      <c r="AG200" s="117"/>
      <c r="AH200" s="117"/>
      <c r="AI200" s="117">
        <f t="shared" si="15"/>
        <v>153456.67741935485</v>
      </c>
      <c r="AJ200" s="213">
        <v>157159</v>
      </c>
    </row>
    <row r="201" spans="3:63" s="104" customFormat="1" x14ac:dyDescent="0.2">
      <c r="C201" s="146">
        <f t="shared" si="20"/>
        <v>2010.1666602000096</v>
      </c>
      <c r="D201" s="121">
        <v>40210</v>
      </c>
      <c r="E201" s="117">
        <f>23979/28</f>
        <v>856.39285714285711</v>
      </c>
      <c r="F201" s="117">
        <f>15848/28</f>
        <v>566</v>
      </c>
      <c r="G201" s="117">
        <f>87098/28</f>
        <v>3110.6428571428573</v>
      </c>
      <c r="H201" s="117">
        <f>27769/28</f>
        <v>991.75</v>
      </c>
      <c r="I201" s="117">
        <f>5348/28</f>
        <v>191</v>
      </c>
      <c r="J201" s="272">
        <f>93325/28</f>
        <v>3333.0357142857142</v>
      </c>
      <c r="K201" s="272"/>
      <c r="L201" s="117">
        <f>6941/28</f>
        <v>247.89285714285714</v>
      </c>
      <c r="M201" s="117">
        <f>362664/28</f>
        <v>12952.285714285714</v>
      </c>
      <c r="N201" s="117"/>
      <c r="O201" s="117">
        <f>153634/28</f>
        <v>5486.9285714285716</v>
      </c>
      <c r="P201" s="117"/>
      <c r="Q201" s="117">
        <f>472/28</f>
        <v>16.857142857142858</v>
      </c>
      <c r="R201" s="117">
        <f>1462/28</f>
        <v>52.214285714285715</v>
      </c>
      <c r="S201" s="117">
        <f>368619/28</f>
        <v>13164.964285714286</v>
      </c>
      <c r="T201" s="117">
        <f>123423/28</f>
        <v>4407.9642857142853</v>
      </c>
      <c r="U201" s="117">
        <f>349496/28</f>
        <v>12482</v>
      </c>
      <c r="V201" s="117"/>
      <c r="W201" s="117">
        <f>532709/28</f>
        <v>19025.321428571428</v>
      </c>
      <c r="X201" s="117">
        <f>1285788/28</f>
        <v>45921</v>
      </c>
      <c r="Y201" s="117">
        <f>962804/28</f>
        <v>34385.857142857145</v>
      </c>
      <c r="Z201" s="117"/>
      <c r="AA201" s="117">
        <v>446.28571428571428</v>
      </c>
      <c r="AB201" s="117">
        <v>116.92857142857143</v>
      </c>
      <c r="AC201" s="117">
        <f>78007/28</f>
        <v>2785.9642857142858</v>
      </c>
      <c r="AD201" s="117"/>
      <c r="AE201" s="117"/>
      <c r="AF201" s="117"/>
      <c r="AG201" s="117"/>
      <c r="AH201" s="117"/>
      <c r="AI201" s="117">
        <f t="shared" si="15"/>
        <v>160541.28571428574</v>
      </c>
      <c r="AJ201" s="213">
        <f>+AJ200</f>
        <v>157159</v>
      </c>
    </row>
    <row r="202" spans="3:63" s="104" customFormat="1" x14ac:dyDescent="0.2">
      <c r="C202" s="146">
        <f t="shared" si="20"/>
        <v>2010.2499935000096</v>
      </c>
      <c r="D202" s="121">
        <v>40238</v>
      </c>
      <c r="E202" s="117">
        <v>865.77419354838707</v>
      </c>
      <c r="F202" s="117">
        <v>414.25806451612902</v>
      </c>
      <c r="G202" s="117">
        <f>83981/31</f>
        <v>2709.0645161290322</v>
      </c>
      <c r="H202" s="117">
        <v>990.80645161290317</v>
      </c>
      <c r="I202" s="117">
        <v>184.54838709677421</v>
      </c>
      <c r="J202" s="272">
        <f>109834/31</f>
        <v>3543.0322580645161</v>
      </c>
      <c r="K202" s="272"/>
      <c r="L202" s="117">
        <v>250.51612903225808</v>
      </c>
      <c r="M202" s="117">
        <f>383944/31</f>
        <v>12385.290322580646</v>
      </c>
      <c r="N202" s="117"/>
      <c r="O202" s="117">
        <f>115240/31</f>
        <v>3717.4193548387098</v>
      </c>
      <c r="P202" s="117"/>
      <c r="Q202" s="117">
        <v>10.32258064516129</v>
      </c>
      <c r="R202" s="117">
        <v>48.483870967741936</v>
      </c>
      <c r="S202" s="117">
        <f>364365/31</f>
        <v>11753.709677419354</v>
      </c>
      <c r="T202" s="117">
        <f>161822/31</f>
        <v>5220.0645161290322</v>
      </c>
      <c r="U202" s="117">
        <f>388714/31</f>
        <v>12539.161290322581</v>
      </c>
      <c r="V202" s="117"/>
      <c r="W202" s="117">
        <f>582860/31</f>
        <v>18801.935483870966</v>
      </c>
      <c r="X202" s="117">
        <f>1409614/31</f>
        <v>45471.419354838712</v>
      </c>
      <c r="Y202" s="117">
        <f>1042409/31</f>
        <v>33626.096774193546</v>
      </c>
      <c r="Z202" s="117"/>
      <c r="AA202" s="117">
        <v>330.74193548387098</v>
      </c>
      <c r="AB202" s="117">
        <v>121.80645161290323</v>
      </c>
      <c r="AC202" s="117">
        <f>84166/31</f>
        <v>2715.0322580645161</v>
      </c>
      <c r="AD202" s="117"/>
      <c r="AE202" s="117"/>
      <c r="AF202" s="117"/>
      <c r="AG202" s="117"/>
      <c r="AH202" s="117"/>
      <c r="AI202" s="117">
        <f t="shared" si="15"/>
        <v>155699.48387096776</v>
      </c>
      <c r="AJ202" s="213">
        <f t="shared" si="21"/>
        <v>157159</v>
      </c>
    </row>
    <row r="203" spans="3:63" s="104" customFormat="1" x14ac:dyDescent="0.2">
      <c r="C203" s="146">
        <f t="shared" si="20"/>
        <v>2010.3333268000097</v>
      </c>
      <c r="D203" s="121">
        <v>40269</v>
      </c>
      <c r="E203" s="117">
        <f>25672/30</f>
        <v>855.73333333333335</v>
      </c>
      <c r="F203" s="117">
        <v>600.9666666666667</v>
      </c>
      <c r="G203" s="117">
        <f>78911/30</f>
        <v>2630.3666666666668</v>
      </c>
      <c r="H203" s="117">
        <v>978.5</v>
      </c>
      <c r="I203" s="117">
        <v>171.1</v>
      </c>
      <c r="J203" s="272">
        <f>110030/30</f>
        <v>3667.6666666666665</v>
      </c>
      <c r="K203" s="272"/>
      <c r="L203" s="117">
        <v>245.06666666666666</v>
      </c>
      <c r="M203" s="117">
        <f>383284/30</f>
        <v>12776.133333333333</v>
      </c>
      <c r="N203" s="117"/>
      <c r="O203" s="117">
        <f>140350/30</f>
        <v>4678.333333333333</v>
      </c>
      <c r="P203" s="117"/>
      <c r="Q203" s="117">
        <v>26.433333333333334</v>
      </c>
      <c r="R203" s="117">
        <v>67.099999999999994</v>
      </c>
      <c r="S203" s="117">
        <f>(362506+38480)/30</f>
        <v>13366.2</v>
      </c>
      <c r="T203" s="117">
        <f>165199/30</f>
        <v>5506.6333333333332</v>
      </c>
      <c r="U203" s="117">
        <f>323453/30</f>
        <v>10781.766666666666</v>
      </c>
      <c r="V203" s="117"/>
      <c r="W203" s="117">
        <f>569762/30</f>
        <v>18992.066666666666</v>
      </c>
      <c r="X203" s="117">
        <f>1327547/30</f>
        <v>44251.566666666666</v>
      </c>
      <c r="Y203" s="117">
        <f>1002770/30</f>
        <v>33425.666666666664</v>
      </c>
      <c r="Z203" s="117"/>
      <c r="AA203" s="117">
        <v>313.36666666666667</v>
      </c>
      <c r="AB203" s="117">
        <v>76.13333333333334</v>
      </c>
      <c r="AC203" s="117">
        <f>77715/30</f>
        <v>2590.5</v>
      </c>
      <c r="AD203" s="117"/>
      <c r="AE203" s="117"/>
      <c r="AF203" s="117"/>
      <c r="AG203" s="117"/>
      <c r="AH203" s="117"/>
      <c r="AI203" s="117">
        <f t="shared" si="15"/>
        <v>156001.29999999999</v>
      </c>
      <c r="AJ203" s="213">
        <f t="shared" si="21"/>
        <v>157159</v>
      </c>
    </row>
    <row r="204" spans="3:63" x14ac:dyDescent="0.2">
      <c r="C204" s="146">
        <f t="shared" si="20"/>
        <v>2010.4166601000097</v>
      </c>
      <c r="D204" s="121">
        <v>40299</v>
      </c>
      <c r="E204" s="117">
        <v>845.16129032258061</v>
      </c>
      <c r="F204" s="117">
        <v>650.19354838709683</v>
      </c>
      <c r="G204" s="117">
        <f>74966/31</f>
        <v>2418.2580645161293</v>
      </c>
      <c r="H204" s="117">
        <v>973.93548387096769</v>
      </c>
      <c r="I204" s="117">
        <v>195.06451612903226</v>
      </c>
      <c r="J204" s="272">
        <f>97085/31</f>
        <v>3131.7741935483873</v>
      </c>
      <c r="K204" s="272"/>
      <c r="L204" s="117">
        <v>244.41935483870967</v>
      </c>
      <c r="M204" s="120">
        <f>410301/31</f>
        <v>13235.516129032258</v>
      </c>
      <c r="N204" s="128"/>
      <c r="O204" s="117">
        <f>113076/31</f>
        <v>3647.6129032258063</v>
      </c>
      <c r="P204" s="117"/>
      <c r="Q204" s="117">
        <v>19</v>
      </c>
      <c r="R204" s="117">
        <v>47</v>
      </c>
      <c r="S204" s="117">
        <f>378811/31</f>
        <v>12219.709677419354</v>
      </c>
      <c r="T204" s="117">
        <f>109998/31</f>
        <v>3548.3225806451615</v>
      </c>
      <c r="U204" s="117">
        <f>332890/31</f>
        <v>10738.387096774193</v>
      </c>
      <c r="V204" s="117"/>
      <c r="W204" s="117">
        <f>600801/31</f>
        <v>19380.677419354837</v>
      </c>
      <c r="X204" s="117">
        <f>1446254/31</f>
        <v>46653.354838709674</v>
      </c>
      <c r="Y204" s="117">
        <f>1033230/31</f>
        <v>33330</v>
      </c>
      <c r="Z204" s="117"/>
      <c r="AA204" s="117">
        <v>362.70967741935482</v>
      </c>
      <c r="AB204" s="117">
        <v>100</v>
      </c>
      <c r="AC204" s="117">
        <f>78877/31</f>
        <v>2544.4193548387098</v>
      </c>
      <c r="AD204" s="117"/>
      <c r="AE204" s="117"/>
      <c r="AF204" s="117"/>
      <c r="AG204" s="117"/>
      <c r="AH204" s="117"/>
      <c r="AI204" s="117">
        <f t="shared" si="15"/>
        <v>154285.51612903224</v>
      </c>
      <c r="AJ204" s="213">
        <f t="shared" si="21"/>
        <v>157159</v>
      </c>
    </row>
    <row r="205" spans="3:63" x14ac:dyDescent="0.2">
      <c r="C205" s="146">
        <f t="shared" si="20"/>
        <v>2010.4999934000098</v>
      </c>
      <c r="D205" s="121">
        <v>40330</v>
      </c>
      <c r="E205" s="117">
        <f>34065/30</f>
        <v>1135.5</v>
      </c>
      <c r="F205" s="117">
        <v>566.70000000000005</v>
      </c>
      <c r="G205" s="117">
        <f>67094/30</f>
        <v>2236.4666666666667</v>
      </c>
      <c r="H205" s="117">
        <v>961.36666666666667</v>
      </c>
      <c r="I205" s="117">
        <v>209.06666666666666</v>
      </c>
      <c r="J205" s="272">
        <f>106530/30</f>
        <v>3551</v>
      </c>
      <c r="K205" s="272"/>
      <c r="L205" s="117">
        <v>244.53333333333333</v>
      </c>
      <c r="M205" s="117">
        <f>393424/30</f>
        <v>13114.133333333333</v>
      </c>
      <c r="N205" s="128"/>
      <c r="O205" s="117">
        <f>118957/30</f>
        <v>3965.2333333333331</v>
      </c>
      <c r="P205" s="117"/>
      <c r="Q205" s="117">
        <v>18</v>
      </c>
      <c r="R205" s="117">
        <v>52.166666666666664</v>
      </c>
      <c r="S205" s="117">
        <f>331322/30</f>
        <v>11044.066666666668</v>
      </c>
      <c r="T205" s="117">
        <v>955.73333333333335</v>
      </c>
      <c r="U205" s="117">
        <f>365086/30</f>
        <v>12169.533333333333</v>
      </c>
      <c r="V205" s="117"/>
      <c r="W205" s="117">
        <f>569229/30</f>
        <v>18974.3</v>
      </c>
      <c r="X205" s="117">
        <f>1550620/30</f>
        <v>51687.333333333336</v>
      </c>
      <c r="Y205" s="117">
        <v>31231</v>
      </c>
      <c r="Z205" s="117"/>
      <c r="AA205" s="129">
        <v>396.06666666666666</v>
      </c>
      <c r="AB205" s="117">
        <v>102.36666666666666</v>
      </c>
      <c r="AC205" s="117">
        <f>81783/30</f>
        <v>2726.1</v>
      </c>
      <c r="AD205" s="117"/>
      <c r="AE205" s="117"/>
      <c r="AF205" s="117"/>
      <c r="AG205" s="117"/>
      <c r="AH205" s="117"/>
      <c r="AI205" s="117">
        <f t="shared" si="15"/>
        <v>155340.66666666669</v>
      </c>
      <c r="AJ205" s="213">
        <f t="shared" si="21"/>
        <v>157159</v>
      </c>
    </row>
    <row r="206" spans="3:63" x14ac:dyDescent="0.2">
      <c r="C206" s="146">
        <f t="shared" ref="C206:C269" si="22">+C205+0.0833333</f>
        <v>2010.5833267000098</v>
      </c>
      <c r="D206" s="121">
        <v>40360</v>
      </c>
      <c r="E206" s="117">
        <f>33330/31</f>
        <v>1075.1612903225807</v>
      </c>
      <c r="F206" s="117">
        <v>575.70967741935488</v>
      </c>
      <c r="G206" s="117">
        <f>65941/31</f>
        <v>2127.1290322580644</v>
      </c>
      <c r="H206" s="117">
        <v>939.22580645161293</v>
      </c>
      <c r="I206" s="117">
        <v>195.7741935483871</v>
      </c>
      <c r="J206" s="272">
        <f>91473/31</f>
        <v>2950.7419354838707</v>
      </c>
      <c r="K206" s="272"/>
      <c r="L206" s="117">
        <v>243.03225806451613</v>
      </c>
      <c r="M206" s="117">
        <f>410252/31</f>
        <v>13233.935483870968</v>
      </c>
      <c r="N206" s="117"/>
      <c r="O206" s="117">
        <f>121359/31</f>
        <v>3914.8064516129034</v>
      </c>
      <c r="P206" s="117"/>
      <c r="Q206" s="117">
        <v>18.032258064516128</v>
      </c>
      <c r="R206" s="117">
        <v>54.096774193548384</v>
      </c>
      <c r="S206" s="117">
        <f>+(312455+33268)/31</f>
        <v>11152.354838709678</v>
      </c>
      <c r="T206" s="117">
        <f>137515/31</f>
        <v>4435.9677419354839</v>
      </c>
      <c r="U206" s="117">
        <f>368601/31</f>
        <v>11890.354838709678</v>
      </c>
      <c r="V206" s="117"/>
      <c r="W206" s="117">
        <f>594075/31</f>
        <v>19163.709677419356</v>
      </c>
      <c r="X206" s="117">
        <f>1535243/31</f>
        <v>49523.967741935485</v>
      </c>
      <c r="Y206" s="117">
        <f>1020405/31</f>
        <v>32916.290322580644</v>
      </c>
      <c r="Z206" s="117"/>
      <c r="AA206" s="117">
        <v>333.58064516129031</v>
      </c>
      <c r="AB206" s="117">
        <v>107.3225806451613</v>
      </c>
      <c r="AC206" s="117">
        <f>67103/31</f>
        <v>2164.6129032258063</v>
      </c>
      <c r="AD206" s="117"/>
      <c r="AE206" s="117"/>
      <c r="AF206" s="117"/>
      <c r="AG206" s="117"/>
      <c r="AH206" s="117"/>
      <c r="AI206" s="117">
        <f t="shared" si="15"/>
        <v>157015.80645161291</v>
      </c>
      <c r="AJ206" s="213">
        <f t="shared" si="21"/>
        <v>157159</v>
      </c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</row>
    <row r="207" spans="3:63" x14ac:dyDescent="0.2">
      <c r="C207" s="146">
        <f t="shared" si="22"/>
        <v>2010.6666600000099</v>
      </c>
      <c r="D207" s="121">
        <v>40391</v>
      </c>
      <c r="E207" s="117">
        <v>972.25806451612902</v>
      </c>
      <c r="F207" s="117">
        <f>17801/31</f>
        <v>574.22580645161293</v>
      </c>
      <c r="G207" s="117">
        <f>69904/31</f>
        <v>2254.9677419354839</v>
      </c>
      <c r="H207" s="117">
        <f>29581/31</f>
        <v>954.22580645161293</v>
      </c>
      <c r="I207" s="117">
        <f>6124/31</f>
        <v>197.54838709677421</v>
      </c>
      <c r="J207" s="272">
        <f>81817/31</f>
        <v>2639.2580645161293</v>
      </c>
      <c r="K207" s="272"/>
      <c r="L207" s="117">
        <f>7502/31</f>
        <v>242</v>
      </c>
      <c r="M207" s="117">
        <f>405065/31</f>
        <v>13066.612903225807</v>
      </c>
      <c r="N207" s="117"/>
      <c r="O207" s="117">
        <f>113577/31</f>
        <v>3663.7741935483873</v>
      </c>
      <c r="P207" s="117"/>
      <c r="Q207" s="117">
        <f>550/31</f>
        <v>17.741935483870968</v>
      </c>
      <c r="R207" s="117">
        <f>1798/31</f>
        <v>58</v>
      </c>
      <c r="S207" s="117">
        <f>(402002+34539)/31</f>
        <v>14081.967741935483</v>
      </c>
      <c r="T207" s="117">
        <f>64858/31</f>
        <v>2092.1935483870966</v>
      </c>
      <c r="U207" s="117">
        <f>360513/31</f>
        <v>11629.451612903225</v>
      </c>
      <c r="V207" s="117"/>
      <c r="W207" s="117">
        <f>590823/31</f>
        <v>19058.806451612902</v>
      </c>
      <c r="X207" s="117">
        <f>1548446/31</f>
        <v>49949.870967741932</v>
      </c>
      <c r="Y207" s="117">
        <f>1026096/31</f>
        <v>33099.870967741932</v>
      </c>
      <c r="Z207" s="117"/>
      <c r="AA207" s="117">
        <f>11781/31</f>
        <v>380.03225806451616</v>
      </c>
      <c r="AB207" s="117">
        <f>2959/31</f>
        <v>95.451612903225808</v>
      </c>
      <c r="AC207" s="117">
        <f>80415/31</f>
        <v>2594.0322580645161</v>
      </c>
      <c r="AD207" s="117"/>
      <c r="AE207" s="117"/>
      <c r="AF207" s="117"/>
      <c r="AG207" s="117"/>
      <c r="AH207" s="117"/>
      <c r="AI207" s="117">
        <f t="shared" si="15"/>
        <v>157622.29032258064</v>
      </c>
      <c r="AJ207" s="213">
        <f t="shared" si="21"/>
        <v>157159</v>
      </c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</row>
    <row r="208" spans="3:63" x14ac:dyDescent="0.2">
      <c r="C208" s="146">
        <f t="shared" si="22"/>
        <v>2010.7499933000099</v>
      </c>
      <c r="D208" s="121">
        <v>40422</v>
      </c>
      <c r="E208" s="117">
        <f>34118/30</f>
        <v>1137.2666666666667</v>
      </c>
      <c r="F208" s="117">
        <v>559.9</v>
      </c>
      <c r="G208" s="117">
        <f>97895/30</f>
        <v>3263.1666666666665</v>
      </c>
      <c r="H208" s="117">
        <v>940.56666666666672</v>
      </c>
      <c r="I208" s="117">
        <v>178.63333333333333</v>
      </c>
      <c r="J208" s="272">
        <f>80223/30</f>
        <v>2674.1</v>
      </c>
      <c r="K208" s="272"/>
      <c r="L208" s="117">
        <v>245.9</v>
      </c>
      <c r="M208" s="117">
        <f>396069/30</f>
        <v>13202.3</v>
      </c>
      <c r="N208" s="117"/>
      <c r="O208" s="117">
        <f>117277/30</f>
        <v>3909.2333333333331</v>
      </c>
      <c r="P208" s="117"/>
      <c r="Q208" s="117">
        <v>17.733333333333334</v>
      </c>
      <c r="R208" s="117">
        <v>52.5</v>
      </c>
      <c r="S208" s="117">
        <f>(423324+32846)/30</f>
        <v>15205.666666666666</v>
      </c>
      <c r="T208" s="117">
        <f>196463/30</f>
        <v>6548.7666666666664</v>
      </c>
      <c r="U208" s="117">
        <f>353166/30</f>
        <v>11772.2</v>
      </c>
      <c r="V208" s="117"/>
      <c r="W208" s="117">
        <f>542081/30</f>
        <v>18069.366666666665</v>
      </c>
      <c r="X208" s="117">
        <f>1468847/30</f>
        <v>48961.566666666666</v>
      </c>
      <c r="Y208" s="117">
        <f>995736/30</f>
        <v>33191.199999999997</v>
      </c>
      <c r="Z208" s="117"/>
      <c r="AA208" s="117">
        <v>289.3</v>
      </c>
      <c r="AB208" s="117">
        <v>96.13333333333334</v>
      </c>
      <c r="AC208" s="117">
        <f>63936/30</f>
        <v>2131.1999999999998</v>
      </c>
      <c r="AD208" s="117"/>
      <c r="AE208" s="117"/>
      <c r="AF208" s="117"/>
      <c r="AG208" s="117"/>
      <c r="AH208" s="117"/>
      <c r="AI208" s="117">
        <f t="shared" si="15"/>
        <v>162446.69999999998</v>
      </c>
      <c r="AJ208" s="213">
        <f>+AJ207</f>
        <v>157159</v>
      </c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</row>
    <row r="209" spans="3:63" x14ac:dyDescent="0.2">
      <c r="C209" s="146">
        <f t="shared" si="22"/>
        <v>2010.83332660001</v>
      </c>
      <c r="D209" s="121">
        <v>40452</v>
      </c>
      <c r="E209" s="117">
        <f>35546/31</f>
        <v>1146.6451612903227</v>
      </c>
      <c r="F209" s="117">
        <v>528.0322580645161</v>
      </c>
      <c r="G209" s="117">
        <f>111346/31</f>
        <v>3591.8064516129034</v>
      </c>
      <c r="H209" s="117">
        <v>925.9677419354839</v>
      </c>
      <c r="I209" s="117">
        <v>183.51612903225808</v>
      </c>
      <c r="J209" s="272">
        <f>87966/31</f>
        <v>2837.6129032258063</v>
      </c>
      <c r="K209" s="272"/>
      <c r="L209" s="117">
        <v>236.70967741935485</v>
      </c>
      <c r="M209" s="117">
        <f>412324/31</f>
        <v>13300.774193548386</v>
      </c>
      <c r="N209" s="117"/>
      <c r="O209" s="117">
        <f>101262/31</f>
        <v>3266.516129032258</v>
      </c>
      <c r="P209" s="117"/>
      <c r="Q209" s="117">
        <v>17.193548387096776</v>
      </c>
      <c r="R209" s="117">
        <v>52.322580645161288</v>
      </c>
      <c r="S209" s="117">
        <f>431894/31</f>
        <v>13932.064516129032</v>
      </c>
      <c r="T209" s="117">
        <f>157930/31</f>
        <v>5094.5161290322585</v>
      </c>
      <c r="U209" s="117">
        <f>358122/31</f>
        <v>11552.322580645161</v>
      </c>
      <c r="V209" s="117"/>
      <c r="W209" s="117">
        <f>556692/31</f>
        <v>17957.806451612902</v>
      </c>
      <c r="X209" s="117">
        <f>1503939/31</f>
        <v>48514.161290322583</v>
      </c>
      <c r="Y209" s="117">
        <f>1045986/31</f>
        <v>33741.483870967742</v>
      </c>
      <c r="Z209" s="117"/>
      <c r="AA209" s="117">
        <v>318.41935483870969</v>
      </c>
      <c r="AB209" s="117">
        <v>107.19354838709677</v>
      </c>
      <c r="AC209" s="117">
        <f>74978/31</f>
        <v>2418.6451612903224</v>
      </c>
      <c r="AD209" s="117"/>
      <c r="AE209" s="117"/>
      <c r="AF209" s="117"/>
      <c r="AG209" s="117"/>
      <c r="AH209" s="117"/>
      <c r="AI209" s="117">
        <f t="shared" si="15"/>
        <v>159723.70967741933</v>
      </c>
      <c r="AJ209" s="213">
        <f>+AJ208</f>
        <v>157159</v>
      </c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</row>
    <row r="210" spans="3:63" x14ac:dyDescent="0.2">
      <c r="C210" s="146">
        <f t="shared" si="22"/>
        <v>2010.91665990001</v>
      </c>
      <c r="D210" s="121">
        <v>40483</v>
      </c>
      <c r="E210" s="117">
        <f>34549/30</f>
        <v>1151.6333333333334</v>
      </c>
      <c r="F210" s="117">
        <v>581.76666666666665</v>
      </c>
      <c r="G210" s="117">
        <f>106206/30</f>
        <v>3540.2</v>
      </c>
      <c r="H210" s="117">
        <v>953.1</v>
      </c>
      <c r="I210" s="117">
        <v>182.66666666666666</v>
      </c>
      <c r="J210" s="272">
        <f>87026/30</f>
        <v>2900.8666666666668</v>
      </c>
      <c r="K210" s="272"/>
      <c r="L210" s="117">
        <v>233.2</v>
      </c>
      <c r="M210" s="117">
        <f>394580/30</f>
        <v>13152.666666666666</v>
      </c>
      <c r="N210" s="117"/>
      <c r="O210" s="117">
        <f>95464/30</f>
        <v>3182.1333333333332</v>
      </c>
      <c r="P210" s="117"/>
      <c r="Q210" s="117">
        <v>17.8</v>
      </c>
      <c r="R210" s="117">
        <v>47.06666666666667</v>
      </c>
      <c r="S210" s="117">
        <f>(324058+32926)/30</f>
        <v>11899.466666666667</v>
      </c>
      <c r="T210" s="117">
        <f>130184/30</f>
        <v>4339.4666666666662</v>
      </c>
      <c r="U210" s="117">
        <f>321495/30</f>
        <v>10716.5</v>
      </c>
      <c r="V210" s="117"/>
      <c r="W210" s="117">
        <f>549956/30</f>
        <v>18331.866666666665</v>
      </c>
      <c r="X210" s="117">
        <f>1391997/30</f>
        <v>46399.9</v>
      </c>
      <c r="Y210" s="117">
        <f>1057759/30</f>
        <v>35258.633333333331</v>
      </c>
      <c r="Z210" s="117"/>
      <c r="AA210" s="117">
        <v>331</v>
      </c>
      <c r="AB210" s="117">
        <v>50.06666666666667</v>
      </c>
      <c r="AC210" s="117">
        <f>73424/30</f>
        <v>2447.4666666666667</v>
      </c>
      <c r="AD210" s="117"/>
      <c r="AE210" s="117"/>
      <c r="AF210" s="117"/>
      <c r="AG210" s="117"/>
      <c r="AH210" s="117"/>
      <c r="AI210" s="117">
        <f t="shared" si="15"/>
        <v>155717.46666666667</v>
      </c>
      <c r="AJ210" s="213">
        <f>+AJ209</f>
        <v>157159</v>
      </c>
      <c r="AL210" s="104"/>
      <c r="AM210" s="104"/>
    </row>
    <row r="211" spans="3:63" x14ac:dyDescent="0.2">
      <c r="C211" s="146">
        <f t="shared" si="22"/>
        <v>2010.9999932000101</v>
      </c>
      <c r="D211" s="121">
        <v>40513</v>
      </c>
      <c r="E211" s="117">
        <v>1107</v>
      </c>
      <c r="F211" s="117">
        <v>666</v>
      </c>
      <c r="G211" s="117">
        <v>3724</v>
      </c>
      <c r="H211" s="117">
        <v>926</v>
      </c>
      <c r="I211" s="117">
        <v>183</v>
      </c>
      <c r="J211" s="272">
        <v>2743</v>
      </c>
      <c r="K211" s="272"/>
      <c r="L211" s="117">
        <v>233</v>
      </c>
      <c r="M211" s="117">
        <v>13298</v>
      </c>
      <c r="N211" s="117"/>
      <c r="O211" s="117">
        <v>3574</v>
      </c>
      <c r="P211" s="117"/>
      <c r="Q211" s="117">
        <v>71</v>
      </c>
      <c r="R211" s="117">
        <v>49</v>
      </c>
      <c r="S211" s="117">
        <v>12701</v>
      </c>
      <c r="T211" s="117">
        <v>5906</v>
      </c>
      <c r="U211" s="117">
        <v>11506</v>
      </c>
      <c r="V211" s="117"/>
      <c r="W211" s="117">
        <v>17849</v>
      </c>
      <c r="X211" s="117">
        <v>47643</v>
      </c>
      <c r="Y211" s="117">
        <v>33451</v>
      </c>
      <c r="Z211" s="117"/>
      <c r="AA211" s="117">
        <v>443</v>
      </c>
      <c r="AB211" s="117">
        <v>94</v>
      </c>
      <c r="AC211" s="117">
        <v>2244</v>
      </c>
      <c r="AD211" s="117"/>
      <c r="AE211" s="117"/>
      <c r="AF211" s="117"/>
      <c r="AG211" s="117"/>
      <c r="AH211" s="117"/>
      <c r="AI211" s="117">
        <f>SUM(E211:AH211)</f>
        <v>158411</v>
      </c>
      <c r="AJ211" s="213">
        <f>+AJ210</f>
        <v>157159</v>
      </c>
      <c r="AL211" s="104"/>
      <c r="AM211" s="104"/>
      <c r="AN211" s="104"/>
    </row>
    <row r="212" spans="3:63" x14ac:dyDescent="0.2">
      <c r="C212" s="146">
        <f t="shared" si="22"/>
        <v>2011.0833265000101</v>
      </c>
      <c r="D212" s="121">
        <v>40544</v>
      </c>
      <c r="E212" s="117">
        <f>36331/31</f>
        <v>1171.9677419354839</v>
      </c>
      <c r="F212" s="117">
        <v>615.83870967741939</v>
      </c>
      <c r="G212" s="117">
        <f>122118/31</f>
        <v>3939.2903225806454</v>
      </c>
      <c r="H212" s="117">
        <v>930.19354838709683</v>
      </c>
      <c r="I212" s="117">
        <v>169.03225806451613</v>
      </c>
      <c r="J212" s="272">
        <f>84980/31</f>
        <v>2741.2903225806454</v>
      </c>
      <c r="K212" s="272"/>
      <c r="L212" s="117">
        <v>227.58064516129033</v>
      </c>
      <c r="M212" s="117">
        <f>407986/31</f>
        <v>13160.838709677419</v>
      </c>
      <c r="N212" s="117"/>
      <c r="O212" s="117">
        <f>138057/31</f>
        <v>4453.4516129032254</v>
      </c>
      <c r="P212" s="117"/>
      <c r="Q212" s="117">
        <v>167.64516129032259</v>
      </c>
      <c r="R212" s="117">
        <v>41.322580645161288</v>
      </c>
      <c r="S212" s="117">
        <f>369437/31</f>
        <v>11917.322580645161</v>
      </c>
      <c r="T212" s="117">
        <f>123113/31</f>
        <v>3971.3870967741937</v>
      </c>
      <c r="U212" s="117">
        <f>326787/31</f>
        <v>10541.516129032258</v>
      </c>
      <c r="V212" s="117"/>
      <c r="W212" s="117">
        <f>554972/31</f>
        <v>17902.322580645163</v>
      </c>
      <c r="X212" s="117">
        <f>1464343/31</f>
        <v>47236.870967741932</v>
      </c>
      <c r="Y212" s="117">
        <f>1047653/31</f>
        <v>33795.258064516129</v>
      </c>
      <c r="Z212" s="117"/>
      <c r="AA212" s="117">
        <v>403.12903225806451</v>
      </c>
      <c r="AB212" s="117">
        <v>102.64516129032258</v>
      </c>
      <c r="AC212" s="117">
        <f>81876/31</f>
        <v>2641.1612903225805</v>
      </c>
      <c r="AD212" s="117"/>
      <c r="AE212" s="117"/>
      <c r="AF212" s="117"/>
      <c r="AG212" s="117"/>
      <c r="AH212" s="117">
        <v>104.16129032258064</v>
      </c>
      <c r="AI212" s="117">
        <f t="shared" ref="AI212:AI236" si="23">SUM(E212:AH212)</f>
        <v>156234.22580645161</v>
      </c>
      <c r="AJ212" s="213">
        <v>152716</v>
      </c>
    </row>
    <row r="213" spans="3:63" x14ac:dyDescent="0.2">
      <c r="C213" s="146">
        <f t="shared" si="22"/>
        <v>2011.1666598000102</v>
      </c>
      <c r="D213" s="116">
        <v>40575</v>
      </c>
      <c r="E213" s="117">
        <v>1069.8928571428601</v>
      </c>
      <c r="F213" s="117">
        <v>578.17857142857144</v>
      </c>
      <c r="G213" s="117">
        <f>113010/28</f>
        <v>4036.0714285714284</v>
      </c>
      <c r="H213" s="117">
        <v>888.92857142857144</v>
      </c>
      <c r="I213" s="117">
        <v>161.71428571428572</v>
      </c>
      <c r="J213" s="272">
        <f>81774/28</f>
        <v>2920.5</v>
      </c>
      <c r="K213" s="272"/>
      <c r="L213" s="117">
        <v>232.64285714285714</v>
      </c>
      <c r="M213" s="117">
        <f>366186/28</f>
        <v>13078.071428571429</v>
      </c>
      <c r="N213" s="117"/>
      <c r="O213" s="117">
        <f>116970/28</f>
        <v>4177.5</v>
      </c>
      <c r="P213" s="117"/>
      <c r="Q213" s="117">
        <v>143.46428571428572</v>
      </c>
      <c r="R213" s="117">
        <v>48.571428571428569</v>
      </c>
      <c r="S213" s="117">
        <f>+(309604+34428)/28</f>
        <v>12286.857142857143</v>
      </c>
      <c r="T213" s="117">
        <f>121870/28</f>
        <v>4352.5</v>
      </c>
      <c r="U213" s="117">
        <f>257552/28</f>
        <v>9198.2857142857138</v>
      </c>
      <c r="V213" s="117"/>
      <c r="W213" s="117">
        <f>489468/28</f>
        <v>17481</v>
      </c>
      <c r="X213" s="117">
        <f>1334818/28</f>
        <v>47672.071428571428</v>
      </c>
      <c r="Y213" s="117">
        <f>952119/28</f>
        <v>34004.25</v>
      </c>
      <c r="Z213" s="117"/>
      <c r="AA213" s="117">
        <v>292.28571428571428</v>
      </c>
      <c r="AB213" s="117">
        <v>77.357142857142861</v>
      </c>
      <c r="AC213" s="117">
        <f>69301/28</f>
        <v>2475.0357142857142</v>
      </c>
      <c r="AD213" s="117"/>
      <c r="AE213" s="117"/>
      <c r="AF213" s="117"/>
      <c r="AG213" s="117"/>
      <c r="AH213" s="117"/>
      <c r="AI213" s="117">
        <f t="shared" si="23"/>
        <v>155175.17857142855</v>
      </c>
      <c r="AJ213" s="213">
        <f>+AJ212</f>
        <v>152716</v>
      </c>
    </row>
    <row r="214" spans="3:63" x14ac:dyDescent="0.2">
      <c r="C214" s="146">
        <f t="shared" si="22"/>
        <v>2011.2499931000102</v>
      </c>
      <c r="D214" s="116">
        <v>40603</v>
      </c>
      <c r="E214" s="117">
        <f>33547/31</f>
        <v>1082.1612903225807</v>
      </c>
      <c r="F214" s="117">
        <v>552.67741935483866</v>
      </c>
      <c r="G214" s="117">
        <f>117238/31</f>
        <v>3781.8709677419356</v>
      </c>
      <c r="H214" s="117">
        <v>888.35483870967744</v>
      </c>
      <c r="I214" s="117">
        <v>148.29032258064515</v>
      </c>
      <c r="J214" s="272">
        <f>87762/31</f>
        <v>2831.0322580645161</v>
      </c>
      <c r="K214" s="272"/>
      <c r="L214" s="117">
        <v>232.38709677419354</v>
      </c>
      <c r="M214" s="117">
        <f>405747/31</f>
        <v>13088.612903225807</v>
      </c>
      <c r="N214" s="117"/>
      <c r="O214" s="117">
        <f>108418/31</f>
        <v>3497.3548387096776</v>
      </c>
      <c r="P214" s="117"/>
      <c r="Q214" s="117">
        <v>97.41935483870968</v>
      </c>
      <c r="R214" s="117">
        <v>45</v>
      </c>
      <c r="S214" s="117">
        <f>400966/31</f>
        <v>12934.387096774193</v>
      </c>
      <c r="T214" s="117">
        <f>149360/31</f>
        <v>4818.0645161290322</v>
      </c>
      <c r="U214" s="117">
        <f>382600/31</f>
        <v>12341.935483870968</v>
      </c>
      <c r="V214" s="117"/>
      <c r="W214" s="117">
        <f>559315/31</f>
        <v>18042.419354838708</v>
      </c>
      <c r="X214" s="117">
        <f>1549502/31</f>
        <v>49983.93548387097</v>
      </c>
      <c r="Y214" s="117">
        <f>945268/31</f>
        <v>30492.516129032258</v>
      </c>
      <c r="Z214" s="117"/>
      <c r="AA214" s="117">
        <v>471.83870967741933</v>
      </c>
      <c r="AB214" s="117">
        <v>100.29032258064517</v>
      </c>
      <c r="AC214" s="117">
        <f>68534/31</f>
        <v>2210.7741935483873</v>
      </c>
      <c r="AD214" s="117"/>
      <c r="AE214" s="117"/>
      <c r="AF214" s="117"/>
      <c r="AG214" s="117"/>
      <c r="AH214" s="117"/>
      <c r="AI214" s="117">
        <f t="shared" si="23"/>
        <v>157641.32258064518</v>
      </c>
      <c r="AJ214" s="213">
        <f>+AJ213</f>
        <v>152716</v>
      </c>
      <c r="AK214" s="104">
        <f t="shared" ref="AK214:AK220" si="24">+AI214-AI213</f>
        <v>2466.1440092166304</v>
      </c>
    </row>
    <row r="215" spans="3:63" x14ac:dyDescent="0.2">
      <c r="C215" s="146">
        <f t="shared" si="22"/>
        <v>2011.3333264000103</v>
      </c>
      <c r="D215" s="116">
        <v>40634</v>
      </c>
      <c r="E215" s="117">
        <v>1219</v>
      </c>
      <c r="F215" s="117">
        <v>535</v>
      </c>
      <c r="G215" s="117">
        <v>3325</v>
      </c>
      <c r="H215" s="117">
        <v>868</v>
      </c>
      <c r="I215" s="117">
        <v>164.46666666666667</v>
      </c>
      <c r="J215" s="272">
        <f>82573/30</f>
        <v>2752.4333333333334</v>
      </c>
      <c r="K215" s="272"/>
      <c r="L215" s="117">
        <v>231.2</v>
      </c>
      <c r="M215" s="117">
        <f>392733/30</f>
        <v>13091.1</v>
      </c>
      <c r="N215" s="117"/>
      <c r="O215" s="117">
        <f>106852/30</f>
        <v>3561.7333333333331</v>
      </c>
      <c r="P215" s="117"/>
      <c r="Q215" s="117">
        <v>74.900000000000006</v>
      </c>
      <c r="R215" s="117">
        <v>43.8</v>
      </c>
      <c r="S215" s="117">
        <f>358266/30</f>
        <v>11942.2</v>
      </c>
      <c r="T215" s="117">
        <f>99957/30</f>
        <v>3331.9</v>
      </c>
      <c r="U215" s="117">
        <f>308167/30</f>
        <v>10272.233333333334</v>
      </c>
      <c r="V215" s="117"/>
      <c r="W215" s="117">
        <f>530408/30</f>
        <v>17680.266666666666</v>
      </c>
      <c r="X215" s="117">
        <f>1448129/30</f>
        <v>48270.966666666667</v>
      </c>
      <c r="Y215" s="117">
        <f>983586/30</f>
        <v>32786.199999999997</v>
      </c>
      <c r="Z215" s="117"/>
      <c r="AA215" s="117">
        <v>192.36666666666667</v>
      </c>
      <c r="AB215" s="117">
        <v>46.133333333333333</v>
      </c>
      <c r="AC215" s="117">
        <f>72568/30</f>
        <v>2418.9333333333334</v>
      </c>
      <c r="AD215" s="117"/>
      <c r="AE215" s="117"/>
      <c r="AF215" s="117"/>
      <c r="AG215" s="117"/>
      <c r="AH215" s="117"/>
      <c r="AI215" s="117">
        <f t="shared" si="23"/>
        <v>152807.83333333334</v>
      </c>
      <c r="AJ215" s="213">
        <f t="shared" ref="AJ215:AJ223" si="25">+AJ214</f>
        <v>152716</v>
      </c>
      <c r="AK215" s="104">
        <f t="shared" si="24"/>
        <v>-4833.489247311838</v>
      </c>
    </row>
    <row r="216" spans="3:63" x14ac:dyDescent="0.2">
      <c r="C216" s="146">
        <f t="shared" si="22"/>
        <v>2011.4166597000103</v>
      </c>
      <c r="D216" s="116">
        <v>40664</v>
      </c>
      <c r="E216" s="117">
        <v>1055</v>
      </c>
      <c r="F216" s="117">
        <v>512</v>
      </c>
      <c r="G216" s="117">
        <v>2772</v>
      </c>
      <c r="H216" s="117">
        <v>872</v>
      </c>
      <c r="I216" s="117">
        <v>164</v>
      </c>
      <c r="J216" s="272">
        <v>2798</v>
      </c>
      <c r="K216" s="272"/>
      <c r="L216" s="117">
        <v>229</v>
      </c>
      <c r="M216" s="117">
        <f>411719/31</f>
        <v>13281.258064516129</v>
      </c>
      <c r="N216" s="117"/>
      <c r="O216" s="117">
        <v>4416</v>
      </c>
      <c r="P216" s="117"/>
      <c r="Q216" s="117">
        <v>68</v>
      </c>
      <c r="R216" s="117">
        <v>41</v>
      </c>
      <c r="S216" s="117">
        <v>11238</v>
      </c>
      <c r="T216" s="117">
        <v>3774</v>
      </c>
      <c r="U216" s="117">
        <f>307465/31</f>
        <v>9918.2258064516136</v>
      </c>
      <c r="V216" s="117"/>
      <c r="W216" s="117">
        <f>560032/31</f>
        <v>18065.548387096773</v>
      </c>
      <c r="X216" s="117">
        <f>1462725/31</f>
        <v>47184.677419354841</v>
      </c>
      <c r="Y216" s="117">
        <f>1064444/31</f>
        <v>34336.903225806454</v>
      </c>
      <c r="Z216" s="117"/>
      <c r="AA216" s="117">
        <v>442</v>
      </c>
      <c r="AB216" s="117">
        <v>105.25806451612904</v>
      </c>
      <c r="AC216" s="117">
        <f>82664/31</f>
        <v>2666.5806451612902</v>
      </c>
      <c r="AD216" s="117"/>
      <c r="AE216" s="117"/>
      <c r="AF216" s="117"/>
      <c r="AG216" s="117"/>
      <c r="AH216" s="117"/>
      <c r="AI216" s="117">
        <f t="shared" si="23"/>
        <v>153939.45161290324</v>
      </c>
      <c r="AJ216" s="213">
        <f t="shared" si="25"/>
        <v>152716</v>
      </c>
      <c r="AK216" s="104">
        <f t="shared" si="24"/>
        <v>1131.6182795698987</v>
      </c>
    </row>
    <row r="217" spans="3:63" x14ac:dyDescent="0.2">
      <c r="C217" s="146">
        <f t="shared" si="22"/>
        <v>2011.4999930000104</v>
      </c>
      <c r="D217" s="116">
        <v>40695</v>
      </c>
      <c r="E217" s="117">
        <v>1026.93333333333</v>
      </c>
      <c r="F217" s="117">
        <v>476.03333333333336</v>
      </c>
      <c r="G217" s="117">
        <f>94340/30</f>
        <v>3144.6666666666665</v>
      </c>
      <c r="H217" s="117">
        <v>843.5333333333333</v>
      </c>
      <c r="I217" s="117">
        <v>154.23333333333332</v>
      </c>
      <c r="J217" s="272">
        <f>88734/30</f>
        <v>2957.8</v>
      </c>
      <c r="K217" s="272"/>
      <c r="L217" s="117">
        <v>232.13333333333333</v>
      </c>
      <c r="M217" s="117">
        <f>397118/30</f>
        <v>13237.266666666666</v>
      </c>
      <c r="N217" s="117"/>
      <c r="O217" s="117">
        <f>157982/30</f>
        <v>5266.0666666666666</v>
      </c>
      <c r="P217" s="117"/>
      <c r="Q217" s="117">
        <v>66.86666666666666</v>
      </c>
      <c r="R217" s="117">
        <v>24.733333333333334</v>
      </c>
      <c r="S217" s="117">
        <f>322754/30</f>
        <v>10758.466666666667</v>
      </c>
      <c r="T217" s="117">
        <f>118754/30</f>
        <v>3958.4666666666667</v>
      </c>
      <c r="U217" s="117">
        <f>315190/30</f>
        <v>10506.333333333334</v>
      </c>
      <c r="V217" s="117"/>
      <c r="W217" s="117">
        <f>541951/30</f>
        <v>18065.033333333333</v>
      </c>
      <c r="X217" s="117">
        <f>1427598/30</f>
        <v>47586.6</v>
      </c>
      <c r="Y217" s="117">
        <f>1006981/30</f>
        <v>33566.033333333333</v>
      </c>
      <c r="Z217" s="117"/>
      <c r="AA217" s="117">
        <v>327.43333333333334</v>
      </c>
      <c r="AB217" s="117">
        <v>67.3</v>
      </c>
      <c r="AC217" s="117">
        <f>72209/30</f>
        <v>2406.9666666666667</v>
      </c>
      <c r="AD217" s="117"/>
      <c r="AE217" s="117"/>
      <c r="AF217" s="117"/>
      <c r="AG217" s="117"/>
      <c r="AH217" s="117"/>
      <c r="AI217" s="117">
        <f t="shared" si="23"/>
        <v>154672.89999999997</v>
      </c>
      <c r="AJ217" s="213">
        <f t="shared" si="25"/>
        <v>152716</v>
      </c>
      <c r="AK217" s="104">
        <f t="shared" si="24"/>
        <v>733.44838709672331</v>
      </c>
      <c r="AM217" s="106">
        <f>+AI217*30</f>
        <v>4640186.9999999991</v>
      </c>
    </row>
    <row r="218" spans="3:63" x14ac:dyDescent="0.2">
      <c r="C218" s="146">
        <f t="shared" si="22"/>
        <v>2011.5833263000104</v>
      </c>
      <c r="D218" s="116">
        <v>40725</v>
      </c>
      <c r="E218" s="117">
        <v>1050.0967741935483</v>
      </c>
      <c r="F218" s="117">
        <v>421.22580645161293</v>
      </c>
      <c r="G218" s="117">
        <f>108346/31</f>
        <v>3495.0322580645161</v>
      </c>
      <c r="H218" s="117">
        <v>815.87096774193549</v>
      </c>
      <c r="I218" s="117">
        <v>153.35483870967741</v>
      </c>
      <c r="J218" s="272">
        <f>94911/31</f>
        <v>3061.6451612903224</v>
      </c>
      <c r="K218" s="272"/>
      <c r="L218" s="117">
        <v>223.12903225806451</v>
      </c>
      <c r="M218" s="117">
        <f>426713/31</f>
        <v>13764.935483870968</v>
      </c>
      <c r="N218" s="117"/>
      <c r="O218" s="117">
        <f>125292/31</f>
        <v>4041.6774193548385</v>
      </c>
      <c r="P218" s="117"/>
      <c r="Q218" s="117">
        <v>55.29032258064516</v>
      </c>
      <c r="R218" s="117">
        <v>53.032258064516128</v>
      </c>
      <c r="S218" s="117">
        <f>285265/31+31304/31</f>
        <v>10211.903225806453</v>
      </c>
      <c r="T218" s="117">
        <f>117638/31</f>
        <v>3794.7741935483873</v>
      </c>
      <c r="U218" s="117">
        <f>320316/31</f>
        <v>10332.774193548386</v>
      </c>
      <c r="V218" s="117"/>
      <c r="W218" s="117">
        <f>560292/31</f>
        <v>18073.935483870966</v>
      </c>
      <c r="X218" s="117">
        <f>1438560/31</f>
        <v>46405.161290322583</v>
      </c>
      <c r="Y218" s="117">
        <f>1054037/31</f>
        <v>34001.193548387098</v>
      </c>
      <c r="Z218" s="117"/>
      <c r="AA218" s="117">
        <v>268.70967741935482</v>
      </c>
      <c r="AB218" s="117">
        <v>76.774193548387103</v>
      </c>
      <c r="AC218" s="117">
        <f>72591/31</f>
        <v>2341.6451612903224</v>
      </c>
      <c r="AD218" s="117"/>
      <c r="AE218" s="117"/>
      <c r="AF218" s="117"/>
      <c r="AG218" s="117"/>
      <c r="AH218" s="117"/>
      <c r="AI218" s="117">
        <f t="shared" si="23"/>
        <v>152642.16129032261</v>
      </c>
      <c r="AJ218" s="213">
        <f t="shared" si="25"/>
        <v>152716</v>
      </c>
      <c r="AK218" s="104">
        <f t="shared" si="24"/>
        <v>-2030.73870967736</v>
      </c>
      <c r="AM218" s="106">
        <f>+AI218*31</f>
        <v>4731907.0000000009</v>
      </c>
    </row>
    <row r="219" spans="3:63" x14ac:dyDescent="0.2">
      <c r="C219" s="146">
        <f t="shared" si="22"/>
        <v>2011.6666596000105</v>
      </c>
      <c r="D219" s="116">
        <v>40756</v>
      </c>
      <c r="E219" s="117">
        <v>964.93548387096803</v>
      </c>
      <c r="F219" s="117">
        <f>14685/31</f>
        <v>473.70967741935482</v>
      </c>
      <c r="G219" s="117">
        <f>98096/31</f>
        <v>3164.3870967741937</v>
      </c>
      <c r="H219" s="117">
        <f>26001/31</f>
        <v>838.74193548387098</v>
      </c>
      <c r="I219" s="117">
        <v>124.35483870967742</v>
      </c>
      <c r="J219" s="272">
        <f>97382/31</f>
        <v>3141.3548387096776</v>
      </c>
      <c r="K219" s="272"/>
      <c r="L219" s="117">
        <v>221.06451612903226</v>
      </c>
      <c r="M219" s="117">
        <f>421045/31</f>
        <v>13582.096774193549</v>
      </c>
      <c r="N219" s="117"/>
      <c r="O219" s="117">
        <f>140627/31</f>
        <v>4536.3548387096771</v>
      </c>
      <c r="P219" s="117"/>
      <c r="Q219" s="117">
        <v>55.354838709677402</v>
      </c>
      <c r="R219" s="117">
        <v>45.322580645161288</v>
      </c>
      <c r="S219" s="117">
        <f>+(321784+30208)/31</f>
        <v>11354.58064516129</v>
      </c>
      <c r="T219" s="117">
        <f>112995/31</f>
        <v>3645</v>
      </c>
      <c r="U219" s="117">
        <f>219569/31</f>
        <v>7082.8709677419356</v>
      </c>
      <c r="V219" s="117"/>
      <c r="W219" s="117">
        <f>527277/31</f>
        <v>17008.935483870966</v>
      </c>
      <c r="X219" s="117">
        <f>1401241/31</f>
        <v>45201.322580645159</v>
      </c>
      <c r="Y219" s="117">
        <f>1108383/31</f>
        <v>35754.290322580644</v>
      </c>
      <c r="Z219" s="117"/>
      <c r="AA219" s="117">
        <v>438.83870967741933</v>
      </c>
      <c r="AB219" s="117">
        <v>117.83870967741936</v>
      </c>
      <c r="AC219" s="117">
        <f>66145/31</f>
        <v>2133.7096774193546</v>
      </c>
      <c r="AD219" s="117"/>
      <c r="AE219" s="117"/>
      <c r="AF219" s="117"/>
      <c r="AG219" s="117"/>
      <c r="AH219" s="117"/>
      <c r="AI219" s="117">
        <f t="shared" si="23"/>
        <v>149885.06451612906</v>
      </c>
      <c r="AJ219" s="213">
        <f t="shared" si="25"/>
        <v>152716</v>
      </c>
      <c r="AK219" s="104">
        <f t="shared" si="24"/>
        <v>-2757.0967741935456</v>
      </c>
      <c r="AM219" s="106">
        <f>+AI219*31</f>
        <v>4646437.0000000009</v>
      </c>
    </row>
    <row r="220" spans="3:63" x14ac:dyDescent="0.2">
      <c r="C220" s="146">
        <f t="shared" si="22"/>
        <v>2011.7499929000105</v>
      </c>
      <c r="D220" s="116">
        <v>40787</v>
      </c>
      <c r="E220" s="117">
        <v>1003.03333333333</v>
      </c>
      <c r="F220" s="117">
        <v>503.5</v>
      </c>
      <c r="G220" s="117">
        <f>88006/30</f>
        <v>2933.5333333333333</v>
      </c>
      <c r="H220" s="117">
        <v>815.36666666666667</v>
      </c>
      <c r="I220" s="117">
        <v>159.9</v>
      </c>
      <c r="J220" s="272">
        <f>97457/30</f>
        <v>3248.5666666666666</v>
      </c>
      <c r="K220" s="272"/>
      <c r="L220" s="117">
        <v>221.56666666666666</v>
      </c>
      <c r="M220" s="117">
        <f>412302/30</f>
        <v>13743.4</v>
      </c>
      <c r="N220" s="117"/>
      <c r="O220" s="117">
        <f>121784/30</f>
        <v>4059.4666666666667</v>
      </c>
      <c r="P220" s="117"/>
      <c r="Q220" s="117">
        <v>54.766666666666666</v>
      </c>
      <c r="R220" s="117">
        <v>42.033333333333331</v>
      </c>
      <c r="S220" s="117">
        <f>+(342049+31259)/30</f>
        <v>12443.6</v>
      </c>
      <c r="T220" s="117">
        <f>107469/30</f>
        <v>3582.3</v>
      </c>
      <c r="U220" s="117">
        <f>279907/30</f>
        <v>9330.2333333333336</v>
      </c>
      <c r="V220" s="117"/>
      <c r="W220" s="117">
        <f>532309/30</f>
        <v>17743.633333333335</v>
      </c>
      <c r="X220" s="117">
        <f>1282923/30</f>
        <v>42764.1</v>
      </c>
      <c r="Y220" s="117">
        <f>1077481/30</f>
        <v>35916.033333333333</v>
      </c>
      <c r="Z220" s="117"/>
      <c r="AA220" s="117">
        <v>340.56666666666666</v>
      </c>
      <c r="AB220" s="117">
        <v>70.833333333333329</v>
      </c>
      <c r="AC220" s="117">
        <f>77901/30</f>
        <v>2596.6999999999998</v>
      </c>
      <c r="AD220" s="117"/>
      <c r="AE220" s="117"/>
      <c r="AF220" s="117"/>
      <c r="AG220" s="117"/>
      <c r="AH220" s="117"/>
      <c r="AI220" s="117">
        <f t="shared" si="23"/>
        <v>151573.13333333336</v>
      </c>
      <c r="AJ220" s="213">
        <f t="shared" si="25"/>
        <v>152716</v>
      </c>
      <c r="AK220" s="104">
        <f t="shared" si="24"/>
        <v>1688.068817204301</v>
      </c>
      <c r="AM220" s="106">
        <f>+AI220*30</f>
        <v>4547194.0000000009</v>
      </c>
    </row>
    <row r="221" spans="3:63" x14ac:dyDescent="0.2">
      <c r="C221" s="146">
        <f t="shared" si="22"/>
        <v>2011.8333262000106</v>
      </c>
      <c r="D221" s="116">
        <v>40817</v>
      </c>
      <c r="E221" s="117">
        <v>977.48387096774195</v>
      </c>
      <c r="F221" s="117">
        <v>475.322580645161</v>
      </c>
      <c r="G221" s="117">
        <f>85185/31</f>
        <v>2747.9032258064517</v>
      </c>
      <c r="H221" s="117">
        <v>805</v>
      </c>
      <c r="I221" s="117">
        <f>4179/31</f>
        <v>134.80645161290323</v>
      </c>
      <c r="J221" s="272">
        <f>99680/31</f>
        <v>3215.483870967742</v>
      </c>
      <c r="K221" s="272"/>
      <c r="L221" s="117">
        <v>226.67741935483872</v>
      </c>
      <c r="M221" s="117">
        <f>435631/31</f>
        <v>14052.612903225807</v>
      </c>
      <c r="N221" s="117"/>
      <c r="O221" s="117">
        <f>118852/31</f>
        <v>3833.9354838709678</v>
      </c>
      <c r="P221" s="117"/>
      <c r="Q221" s="117">
        <v>117.35483870967742</v>
      </c>
      <c r="R221" s="117">
        <v>40.322580645161302</v>
      </c>
      <c r="S221" s="117">
        <f>(359838+38381)/31</f>
        <v>12845.774193548386</v>
      </c>
      <c r="T221" s="117">
        <f>111957/31</f>
        <v>3611.516129032258</v>
      </c>
      <c r="U221" s="117">
        <f>339322/31</f>
        <v>10945.870967741936</v>
      </c>
      <c r="V221" s="117"/>
      <c r="W221" s="117">
        <f>548356/31</f>
        <v>17688.903225806451</v>
      </c>
      <c r="X221" s="117">
        <f>1196603/31</f>
        <v>38600.096774193546</v>
      </c>
      <c r="Y221" s="117">
        <f>1154547/31</f>
        <v>37243.451612903227</v>
      </c>
      <c r="Z221" s="117"/>
      <c r="AA221" s="117">
        <v>414.96774193548384</v>
      </c>
      <c r="AB221" s="117">
        <v>102.2258064516129</v>
      </c>
      <c r="AC221" s="117">
        <f>80632/31</f>
        <v>2601.0322580645161</v>
      </c>
      <c r="AD221" s="117"/>
      <c r="AE221" s="117"/>
      <c r="AF221" s="117"/>
      <c r="AG221" s="117"/>
      <c r="AH221" s="117"/>
      <c r="AI221" s="117">
        <f t="shared" si="23"/>
        <v>150680.74193548385</v>
      </c>
      <c r="AJ221" s="213">
        <f t="shared" si="25"/>
        <v>152716</v>
      </c>
      <c r="AK221" s="104">
        <f t="shared" ref="AK221:AK228" si="26">+AI221-AI220</f>
        <v>-892.39139784951112</v>
      </c>
      <c r="AM221" s="106">
        <f>+AI221*31</f>
        <v>4671102.9999999991</v>
      </c>
    </row>
    <row r="222" spans="3:63" x14ac:dyDescent="0.2">
      <c r="C222" s="146">
        <f t="shared" si="22"/>
        <v>2011.9166595000106</v>
      </c>
      <c r="D222" s="116">
        <v>40848</v>
      </c>
      <c r="E222" s="117">
        <v>971.2</v>
      </c>
      <c r="F222" s="117">
        <v>460.26666666666665</v>
      </c>
      <c r="G222" s="117">
        <f>89209/30</f>
        <v>2973.6333333333332</v>
      </c>
      <c r="H222" s="117">
        <v>817.6</v>
      </c>
      <c r="I222" s="117">
        <v>153.19999999999999</v>
      </c>
      <c r="J222" s="272">
        <f>104127/30</f>
        <v>3470.9</v>
      </c>
      <c r="K222" s="272"/>
      <c r="L222" s="117">
        <v>229.66666666666666</v>
      </c>
      <c r="M222" s="117">
        <f>412962/30</f>
        <v>13765.4</v>
      </c>
      <c r="N222" s="117"/>
      <c r="O222" s="117">
        <f>119618/30</f>
        <v>3987.2666666666669</v>
      </c>
      <c r="P222" s="117"/>
      <c r="Q222" s="117">
        <v>223.23333333333332</v>
      </c>
      <c r="R222" s="117">
        <v>39.533333333333331</v>
      </c>
      <c r="S222" s="117">
        <f>(358058+41619)/30</f>
        <v>13322.566666666668</v>
      </c>
      <c r="T222" s="117">
        <f>95431/30</f>
        <v>3181.0333333333333</v>
      </c>
      <c r="U222" s="117">
        <f>277690/30</f>
        <v>9256.3333333333339</v>
      </c>
      <c r="V222" s="117"/>
      <c r="W222" s="117">
        <f>520533/30</f>
        <v>17351.099999999999</v>
      </c>
      <c r="X222" s="117">
        <f>1110109/30</f>
        <v>37003.633333333331</v>
      </c>
      <c r="Y222" s="117">
        <f>1146382/30</f>
        <v>38212.73333333333</v>
      </c>
      <c r="Z222" s="117"/>
      <c r="AA222" s="117">
        <v>328.7</v>
      </c>
      <c r="AB222" s="117">
        <v>60.666666666666664</v>
      </c>
      <c r="AC222" s="117">
        <f>76589/30</f>
        <v>2552.9666666666667</v>
      </c>
      <c r="AD222" s="117"/>
      <c r="AE222" s="117"/>
      <c r="AF222" s="117"/>
      <c r="AG222" s="117"/>
      <c r="AH222" s="117"/>
      <c r="AI222" s="117">
        <f t="shared" si="23"/>
        <v>148361.63333333333</v>
      </c>
      <c r="AJ222" s="213">
        <f t="shared" si="25"/>
        <v>152716</v>
      </c>
      <c r="AK222" s="104">
        <f t="shared" si="26"/>
        <v>-2319.108602150518</v>
      </c>
      <c r="AM222" s="106">
        <f>+AI222*31</f>
        <v>4599210.6333333328</v>
      </c>
    </row>
    <row r="223" spans="3:63" ht="13.5" thickBot="1" x14ac:dyDescent="0.25">
      <c r="C223" s="146">
        <f t="shared" si="22"/>
        <v>2011.9999928000107</v>
      </c>
      <c r="D223" s="116">
        <v>40878</v>
      </c>
      <c r="E223" s="130">
        <v>1035.2903225806451</v>
      </c>
      <c r="F223" s="130">
        <v>469.87096774193549</v>
      </c>
      <c r="G223" s="130">
        <v>3234.2258064516127</v>
      </c>
      <c r="H223" s="130">
        <v>830.51612903225805</v>
      </c>
      <c r="I223" s="130">
        <v>162.83870967741936</v>
      </c>
      <c r="J223" s="273">
        <v>3436</v>
      </c>
      <c r="K223" s="273"/>
      <c r="L223" s="130">
        <v>226.32258064516128</v>
      </c>
      <c r="M223" s="130">
        <v>13724.322580645161</v>
      </c>
      <c r="N223" s="130"/>
      <c r="O223" s="130">
        <v>3642.7741935483873</v>
      </c>
      <c r="P223" s="130"/>
      <c r="Q223" s="130">
        <v>208.25806451612902</v>
      </c>
      <c r="R223" s="130">
        <v>40.41935483870968</v>
      </c>
      <c r="S223" s="130">
        <v>12949.451612903225</v>
      </c>
      <c r="T223" s="130">
        <v>3321.8709677419356</v>
      </c>
      <c r="U223" s="130">
        <v>9883.5483870967746</v>
      </c>
      <c r="V223" s="130"/>
      <c r="W223" s="130">
        <v>16629.193548387098</v>
      </c>
      <c r="X223" s="130">
        <v>36491.419354838712</v>
      </c>
      <c r="Y223" s="130">
        <v>39760.870967741932</v>
      </c>
      <c r="Z223" s="130"/>
      <c r="AA223" s="130">
        <v>443.93548387096774</v>
      </c>
      <c r="AB223" s="130">
        <v>113.87096774193549</v>
      </c>
      <c r="AC223" s="130">
        <v>2495.0322580645161</v>
      </c>
      <c r="AD223" s="130"/>
      <c r="AE223" s="130"/>
      <c r="AF223" s="130"/>
      <c r="AG223" s="130"/>
      <c r="AH223" s="130"/>
      <c r="AI223" s="117">
        <f t="shared" si="23"/>
        <v>149100.03225806452</v>
      </c>
      <c r="AJ223" s="213">
        <f t="shared" si="25"/>
        <v>152716</v>
      </c>
      <c r="AK223" s="104">
        <f t="shared" si="26"/>
        <v>738.3989247311838</v>
      </c>
      <c r="AM223" s="106">
        <f>+AI223*31</f>
        <v>4622101</v>
      </c>
    </row>
    <row r="224" spans="3:63" x14ac:dyDescent="0.2">
      <c r="C224" s="146">
        <f t="shared" si="22"/>
        <v>2012.0833261000107</v>
      </c>
      <c r="D224" s="121">
        <v>40909</v>
      </c>
      <c r="E224" s="131">
        <v>1078.0322580645161</v>
      </c>
      <c r="F224" s="132">
        <v>471.90322580645159</v>
      </c>
      <c r="G224" s="132">
        <v>2785.7741935483873</v>
      </c>
      <c r="H224" s="132">
        <v>824.25806451612902</v>
      </c>
      <c r="I224" s="132">
        <v>157.48387096774192</v>
      </c>
      <c r="J224" s="277">
        <v>3291.6451612903202</v>
      </c>
      <c r="K224" s="277"/>
      <c r="L224" s="132">
        <v>227.61290322580646</v>
      </c>
      <c r="M224" s="132">
        <v>14161.677419354839</v>
      </c>
      <c r="N224" s="132"/>
      <c r="O224" s="132">
        <v>3486.6451612903224</v>
      </c>
      <c r="P224" s="132"/>
      <c r="Q224" s="132">
        <v>175.67741935483872</v>
      </c>
      <c r="R224" s="132">
        <v>39.806451612903224</v>
      </c>
      <c r="S224" s="132">
        <v>12842.709677419354</v>
      </c>
      <c r="T224" s="132">
        <v>4014.2903225806454</v>
      </c>
      <c r="U224" s="132">
        <v>9102.967741935483</v>
      </c>
      <c r="V224" s="132"/>
      <c r="W224" s="132">
        <v>15735.387096774193</v>
      </c>
      <c r="X224" s="132">
        <v>31091.354838709678</v>
      </c>
      <c r="Y224" s="132">
        <v>33177.258064516129</v>
      </c>
      <c r="Z224" s="132"/>
      <c r="AA224" s="132">
        <v>370.54838709677421</v>
      </c>
      <c r="AB224" s="132">
        <v>80.870967741935488</v>
      </c>
      <c r="AC224" s="132">
        <v>2527.7419354838707</v>
      </c>
      <c r="AD224" s="132"/>
      <c r="AE224" s="132"/>
      <c r="AF224" s="132"/>
      <c r="AG224" s="132"/>
      <c r="AH224" s="132"/>
      <c r="AI224" s="117">
        <f t="shared" si="23"/>
        <v>135643.64516129033</v>
      </c>
      <c r="AJ224" s="213">
        <v>152982</v>
      </c>
      <c r="AK224" s="104">
        <f t="shared" si="26"/>
        <v>-13456.387096774182</v>
      </c>
      <c r="AM224" s="106">
        <f>+AI224*31</f>
        <v>4204953</v>
      </c>
    </row>
    <row r="225" spans="3:44" x14ac:dyDescent="0.2">
      <c r="C225" s="146">
        <f t="shared" si="22"/>
        <v>2012.1666594000108</v>
      </c>
      <c r="D225" s="121">
        <v>40940</v>
      </c>
      <c r="E225" s="133">
        <f>31030/29</f>
        <v>1070</v>
      </c>
      <c r="F225" s="117">
        <f>13204/29</f>
        <v>455.31034482758622</v>
      </c>
      <c r="G225" s="117">
        <f>74028/29</f>
        <v>2552.6896551724139</v>
      </c>
      <c r="H225" s="117">
        <f>22874/29</f>
        <v>788.75862068965512</v>
      </c>
      <c r="I225" s="117">
        <f>4470/29</f>
        <v>154.13793103448276</v>
      </c>
      <c r="J225" s="272">
        <f>83102/29</f>
        <v>2865.5862068965516</v>
      </c>
      <c r="K225" s="272"/>
      <c r="L225" s="117">
        <f>6417/29</f>
        <v>221.27586206896552</v>
      </c>
      <c r="M225" s="117">
        <f>401651/29</f>
        <v>13850.034482758621</v>
      </c>
      <c r="N225" s="117"/>
      <c r="O225" s="117">
        <f>102232/29</f>
        <v>3525.2413793103447</v>
      </c>
      <c r="P225" s="117"/>
      <c r="Q225" s="117">
        <f>3882/29</f>
        <v>133.86206896551724</v>
      </c>
      <c r="R225" s="117">
        <f>1058/29</f>
        <v>36.482758620689658</v>
      </c>
      <c r="S225" s="117">
        <f>(350441+40255)/29</f>
        <v>13472.275862068966</v>
      </c>
      <c r="T225" s="117">
        <f>103022/29</f>
        <v>3552.4827586206898</v>
      </c>
      <c r="U225" s="117">
        <f>296354/29</f>
        <v>10219.103448275862</v>
      </c>
      <c r="V225" s="117"/>
      <c r="W225" s="117">
        <f>463010/29</f>
        <v>15965.862068965518</v>
      </c>
      <c r="X225" s="117">
        <f>1091453/29</f>
        <v>37636.310344827587</v>
      </c>
      <c r="Y225" s="117">
        <f>1163140/29</f>
        <v>40108.275862068964</v>
      </c>
      <c r="Z225" s="117"/>
      <c r="AA225" s="117">
        <f>9495/29</f>
        <v>327.41379310344826</v>
      </c>
      <c r="AB225" s="117">
        <f>1830/29</f>
        <v>63.103448275862071</v>
      </c>
      <c r="AC225" s="117">
        <f>75725/29</f>
        <v>2611.2068965517242</v>
      </c>
      <c r="AD225" s="117"/>
      <c r="AE225" s="117"/>
      <c r="AF225" s="117"/>
      <c r="AG225" s="117"/>
      <c r="AH225" s="117"/>
      <c r="AI225" s="117">
        <f t="shared" si="23"/>
        <v>149609.41379310342</v>
      </c>
      <c r="AJ225" s="213">
        <f>+AJ224</f>
        <v>152982</v>
      </c>
      <c r="AK225" s="104">
        <f t="shared" si="26"/>
        <v>13965.768631813087</v>
      </c>
      <c r="AM225" s="106">
        <f>+AI225*29</f>
        <v>4338672.9999999991</v>
      </c>
    </row>
    <row r="226" spans="3:44" x14ac:dyDescent="0.2">
      <c r="C226" s="146">
        <f t="shared" si="22"/>
        <v>2012.2499927000108</v>
      </c>
      <c r="D226" s="121">
        <v>40969</v>
      </c>
      <c r="E226" s="133">
        <f>31561/31</f>
        <v>1018.0967741935484</v>
      </c>
      <c r="F226" s="117">
        <v>456.12903225806451</v>
      </c>
      <c r="G226" s="117">
        <f>68525/31</f>
        <v>2210.483870967742</v>
      </c>
      <c r="H226" s="117">
        <v>801.9677419354839</v>
      </c>
      <c r="I226" s="117">
        <f>5217/31</f>
        <v>168.29032258064515</v>
      </c>
      <c r="J226" s="272">
        <f>99764/31</f>
        <v>3218.1935483870966</v>
      </c>
      <c r="K226" s="272"/>
      <c r="L226" s="117">
        <f>6891/31</f>
        <v>222.29032258064515</v>
      </c>
      <c r="M226" s="117">
        <f>430914/31</f>
        <v>13900.451612903225</v>
      </c>
      <c r="N226" s="117"/>
      <c r="O226" s="117">
        <f>102642/31</f>
        <v>3311.0322580645161</v>
      </c>
      <c r="P226" s="117"/>
      <c r="Q226" s="117">
        <v>192.70967741935485</v>
      </c>
      <c r="R226" s="117">
        <v>34.12903225806452</v>
      </c>
      <c r="S226" s="117">
        <f>410527/31</f>
        <v>13242.806451612903</v>
      </c>
      <c r="T226" s="117">
        <f>106469/31</f>
        <v>3434.483870967742</v>
      </c>
      <c r="U226" s="117">
        <f>294174/31</f>
        <v>9489.4838709677424</v>
      </c>
      <c r="V226" s="117"/>
      <c r="W226" s="117">
        <f>485382/31</f>
        <v>15657.483870967742</v>
      </c>
      <c r="X226" s="117">
        <f>1252517/31</f>
        <v>40403.774193548386</v>
      </c>
      <c r="Y226" s="117">
        <f>1169477/31</f>
        <v>37725.06451612903</v>
      </c>
      <c r="Z226" s="117"/>
      <c r="AA226" s="117">
        <v>347</v>
      </c>
      <c r="AB226" s="117">
        <v>80</v>
      </c>
      <c r="AC226" s="117">
        <f>82345/31</f>
        <v>2656.2903225806454</v>
      </c>
      <c r="AD226" s="117"/>
      <c r="AE226" s="117"/>
      <c r="AF226" s="117"/>
      <c r="AG226" s="117"/>
      <c r="AH226" s="117"/>
      <c r="AI226" s="117">
        <f t="shared" si="23"/>
        <v>148570.16129032258</v>
      </c>
      <c r="AJ226" s="213">
        <f>+AJ225</f>
        <v>152982</v>
      </c>
      <c r="AK226" s="104">
        <f t="shared" si="26"/>
        <v>-1039.2525027808442</v>
      </c>
      <c r="AM226" s="106">
        <f>+AI226*31</f>
        <v>4605675</v>
      </c>
    </row>
    <row r="227" spans="3:44" x14ac:dyDescent="0.2">
      <c r="C227" s="146">
        <f t="shared" si="22"/>
        <v>2012.3333260000109</v>
      </c>
      <c r="D227" s="121">
        <v>41000</v>
      </c>
      <c r="E227" s="133">
        <v>1029</v>
      </c>
      <c r="F227" s="117">
        <v>451.83333333333331</v>
      </c>
      <c r="G227" s="117">
        <v>1987.0333333333333</v>
      </c>
      <c r="H227" s="117">
        <v>764.6</v>
      </c>
      <c r="I227" s="117">
        <v>161.76666666666668</v>
      </c>
      <c r="J227" s="272">
        <v>3018.4333333333334</v>
      </c>
      <c r="K227" s="272"/>
      <c r="L227" s="117">
        <v>220.73333333333332</v>
      </c>
      <c r="M227" s="117">
        <v>14256.033333333333</v>
      </c>
      <c r="N227" s="117"/>
      <c r="O227" s="117">
        <v>3224.1666666666665</v>
      </c>
      <c r="P227" s="117"/>
      <c r="Q227" s="117">
        <v>198.46666666666667</v>
      </c>
      <c r="R227" s="117">
        <v>35.06666666666667</v>
      </c>
      <c r="S227" s="117">
        <f>+(41019+399210)/30</f>
        <v>14674.3</v>
      </c>
      <c r="T227" s="117">
        <v>4685.166666666667</v>
      </c>
      <c r="U227" s="117">
        <v>10306.633333333333</v>
      </c>
      <c r="V227" s="117"/>
      <c r="W227" s="117">
        <v>15193.2</v>
      </c>
      <c r="X227" s="117">
        <v>33640.933333333334</v>
      </c>
      <c r="Y227" s="117">
        <v>34024.800000000003</v>
      </c>
      <c r="Z227" s="117"/>
      <c r="AA227" s="117">
        <v>392.6</v>
      </c>
      <c r="AB227" s="117">
        <v>106.9</v>
      </c>
      <c r="AC227" s="117">
        <v>2634.9</v>
      </c>
      <c r="AD227" s="117"/>
      <c r="AE227" s="117"/>
      <c r="AF227" s="117"/>
      <c r="AG227" s="117"/>
      <c r="AH227" s="117"/>
      <c r="AI227" s="117">
        <f t="shared" si="23"/>
        <v>141006.56666666668</v>
      </c>
      <c r="AJ227" s="213">
        <f t="shared" ref="AJ227:AJ234" si="27">+AJ226</f>
        <v>152982</v>
      </c>
      <c r="AK227" s="104">
        <f t="shared" si="26"/>
        <v>-7563.5946236558957</v>
      </c>
      <c r="AM227" s="106">
        <f>+AI227*30</f>
        <v>4230197</v>
      </c>
    </row>
    <row r="228" spans="3:44" x14ac:dyDescent="0.2">
      <c r="C228" s="146">
        <f t="shared" si="22"/>
        <v>2012.4166593000109</v>
      </c>
      <c r="D228" s="121">
        <v>41030</v>
      </c>
      <c r="E228" s="133">
        <v>1287.8709677419354</v>
      </c>
      <c r="F228" s="117">
        <v>460.80645161290323</v>
      </c>
      <c r="G228" s="117">
        <v>1953.4516129032259</v>
      </c>
      <c r="H228" s="117">
        <v>775.64516129032256</v>
      </c>
      <c r="I228" s="117">
        <v>153.67741935483872</v>
      </c>
      <c r="J228" s="272">
        <v>3254.4193548387102</v>
      </c>
      <c r="K228" s="272"/>
      <c r="L228" s="117">
        <v>223.70967741935485</v>
      </c>
      <c r="M228" s="117">
        <v>14070.258064516129</v>
      </c>
      <c r="N228" s="117"/>
      <c r="O228" s="117">
        <v>3101.9677419354839</v>
      </c>
      <c r="P228" s="117"/>
      <c r="Q228" s="117">
        <v>139.58064516129033</v>
      </c>
      <c r="R228" s="117">
        <v>33.225806451612904</v>
      </c>
      <c r="S228" s="117">
        <v>13414.193548387097</v>
      </c>
      <c r="T228" s="117">
        <v>2538.3870967741937</v>
      </c>
      <c r="U228" s="117">
        <v>9782.2903225806458</v>
      </c>
      <c r="V228" s="117"/>
      <c r="W228" s="117">
        <v>14905.806451612903</v>
      </c>
      <c r="X228" s="117">
        <v>41191.516129032258</v>
      </c>
      <c r="Y228" s="117">
        <v>36730.483870967742</v>
      </c>
      <c r="Z228" s="117"/>
      <c r="AA228" s="117">
        <v>309.87096774193549</v>
      </c>
      <c r="AB228" s="117">
        <v>86.806451612903231</v>
      </c>
      <c r="AC228" s="117">
        <v>2650.6774193548385</v>
      </c>
      <c r="AD228" s="117"/>
      <c r="AE228" s="117"/>
      <c r="AF228" s="117"/>
      <c r="AG228" s="117"/>
      <c r="AH228" s="117"/>
      <c r="AI228" s="117">
        <f t="shared" si="23"/>
        <v>147064.64516129036</v>
      </c>
      <c r="AJ228" s="213">
        <f t="shared" si="27"/>
        <v>152982</v>
      </c>
      <c r="AK228" s="104">
        <f t="shared" si="26"/>
        <v>6058.0784946236818</v>
      </c>
      <c r="AM228" s="106">
        <f>+AI228*31</f>
        <v>4559004.0000000009</v>
      </c>
    </row>
    <row r="229" spans="3:44" x14ac:dyDescent="0.2">
      <c r="C229" s="146">
        <f t="shared" si="22"/>
        <v>2012.499992600011</v>
      </c>
      <c r="D229" s="121">
        <v>41061</v>
      </c>
      <c r="E229" s="133">
        <v>1187.5666666666666</v>
      </c>
      <c r="F229" s="117">
        <v>439.76666666666665</v>
      </c>
      <c r="G229" s="117">
        <v>2505.9333333333334</v>
      </c>
      <c r="H229" s="117">
        <v>763.8</v>
      </c>
      <c r="I229" s="117">
        <v>150.73333333333332</v>
      </c>
      <c r="J229" s="272">
        <v>3280.2</v>
      </c>
      <c r="K229" s="272"/>
      <c r="L229" s="117">
        <v>221.6</v>
      </c>
      <c r="M229" s="117">
        <v>13878.733333333334</v>
      </c>
      <c r="N229" s="117"/>
      <c r="O229" s="117">
        <v>3568.2666666666669</v>
      </c>
      <c r="P229" s="117"/>
      <c r="Q229" s="117">
        <v>114.63333333333334</v>
      </c>
      <c r="R229" s="117">
        <v>36.4</v>
      </c>
      <c r="S229" s="117">
        <v>13626.866666666667</v>
      </c>
      <c r="T229" s="117">
        <v>3472.2666666666669</v>
      </c>
      <c r="U229" s="117">
        <v>8554.7000000000007</v>
      </c>
      <c r="V229" s="117"/>
      <c r="W229" s="117">
        <v>15187.5</v>
      </c>
      <c r="X229" s="117">
        <v>39058.26666666667</v>
      </c>
      <c r="Y229" s="117">
        <v>38778.166666666664</v>
      </c>
      <c r="Z229" s="117"/>
      <c r="AA229" s="117">
        <v>359.56666666666666</v>
      </c>
      <c r="AB229" s="117">
        <v>116.63333333333334</v>
      </c>
      <c r="AC229" s="117">
        <v>2726.2333333333331</v>
      </c>
      <c r="AD229" s="117"/>
      <c r="AE229" s="117"/>
      <c r="AF229" s="117"/>
      <c r="AG229" s="117"/>
      <c r="AH229" s="117"/>
      <c r="AI229" s="117">
        <f t="shared" si="23"/>
        <v>148027.83333333334</v>
      </c>
      <c r="AJ229" s="213">
        <f t="shared" si="27"/>
        <v>152982</v>
      </c>
      <c r="AK229" s="104">
        <f>+AI229-AI228</f>
        <v>963.18817204298102</v>
      </c>
      <c r="AM229" s="106">
        <f>+AI229*30</f>
        <v>4440835</v>
      </c>
    </row>
    <row r="230" spans="3:44" x14ac:dyDescent="0.2">
      <c r="C230" s="146">
        <f t="shared" si="22"/>
        <v>2012.583325900011</v>
      </c>
      <c r="D230" s="121">
        <v>41091</v>
      </c>
      <c r="E230" s="133">
        <v>1231</v>
      </c>
      <c r="F230" s="117">
        <v>444</v>
      </c>
      <c r="G230" s="117">
        <v>2352.9354838709678</v>
      </c>
      <c r="H230" s="117">
        <v>755.80645161290317</v>
      </c>
      <c r="I230" s="117">
        <v>140.29032258064515</v>
      </c>
      <c r="J230" s="272">
        <v>3272.1612903225805</v>
      </c>
      <c r="K230" s="272"/>
      <c r="L230" s="105">
        <v>218.64516129032259</v>
      </c>
      <c r="M230" s="117">
        <v>14184</v>
      </c>
      <c r="N230" s="117"/>
      <c r="O230" s="117">
        <v>3249</v>
      </c>
      <c r="P230" s="117"/>
      <c r="Q230" s="117">
        <v>106</v>
      </c>
      <c r="R230" s="117">
        <v>37</v>
      </c>
      <c r="S230" s="117">
        <f>12333+1086</f>
        <v>13419</v>
      </c>
      <c r="T230" s="117">
        <v>3001</v>
      </c>
      <c r="U230" s="117">
        <v>10111</v>
      </c>
      <c r="V230" s="117"/>
      <c r="W230" s="117">
        <v>15697</v>
      </c>
      <c r="X230" s="117">
        <v>39870</v>
      </c>
      <c r="Y230" s="117">
        <v>38836</v>
      </c>
      <c r="Z230" s="117"/>
      <c r="AA230" s="117">
        <v>296</v>
      </c>
      <c r="AB230" s="117">
        <v>109</v>
      </c>
      <c r="AC230" s="117">
        <v>2786</v>
      </c>
      <c r="AD230" s="117"/>
      <c r="AE230" s="117"/>
      <c r="AF230" s="117"/>
      <c r="AG230" s="117"/>
      <c r="AH230" s="117"/>
      <c r="AI230" s="117">
        <f t="shared" si="23"/>
        <v>150115.83870967742</v>
      </c>
      <c r="AJ230" s="213">
        <f t="shared" si="27"/>
        <v>152982</v>
      </c>
      <c r="AK230" s="104">
        <f t="shared" ref="AK230:AK261" si="28">+AI230-AI229</f>
        <v>2088.005376344081</v>
      </c>
      <c r="AM230" s="106">
        <f>+AI230*31</f>
        <v>4653591</v>
      </c>
    </row>
    <row r="231" spans="3:44" x14ac:dyDescent="0.2">
      <c r="C231" s="146">
        <f t="shared" si="22"/>
        <v>2012.6666592000111</v>
      </c>
      <c r="D231" s="121">
        <v>41122</v>
      </c>
      <c r="E231" s="133">
        <v>1211.9677419354839</v>
      </c>
      <c r="F231" s="117">
        <v>420.54838709677421</v>
      </c>
      <c r="G231" s="117">
        <v>2265.4516129032259</v>
      </c>
      <c r="H231" s="117">
        <v>768.9677419354839</v>
      </c>
      <c r="I231" s="117">
        <v>146.32258064516128</v>
      </c>
      <c r="J231" s="272">
        <v>3518.0322580645202</v>
      </c>
      <c r="K231" s="272"/>
      <c r="L231" s="117">
        <v>216.61290322580646</v>
      </c>
      <c r="M231" s="117">
        <v>14505.709677419354</v>
      </c>
      <c r="N231" s="117"/>
      <c r="O231" s="117">
        <v>2515.6774193548385</v>
      </c>
      <c r="P231" s="117"/>
      <c r="Q231" s="117">
        <v>101.38709677419355</v>
      </c>
      <c r="R231" s="117">
        <v>34.032258064516128</v>
      </c>
      <c r="S231" s="117">
        <v>13334.677419354839</v>
      </c>
      <c r="T231" s="117">
        <v>2862.3225806451615</v>
      </c>
      <c r="U231" s="117">
        <v>10571.967741935483</v>
      </c>
      <c r="V231" s="117"/>
      <c r="W231" s="117">
        <v>15621.161290322581</v>
      </c>
      <c r="X231" s="117">
        <v>46971.774193548386</v>
      </c>
      <c r="Y231" s="117">
        <v>37770.93548387097</v>
      </c>
      <c r="Z231" s="117"/>
      <c r="AA231" s="117">
        <v>320.80645161290323</v>
      </c>
      <c r="AB231" s="117">
        <v>52.935483870967744</v>
      </c>
      <c r="AC231" s="117">
        <v>2748.8709677419356</v>
      </c>
      <c r="AD231" s="117"/>
      <c r="AE231" s="117"/>
      <c r="AF231" s="117"/>
      <c r="AG231" s="117"/>
      <c r="AH231" s="117"/>
      <c r="AI231" s="117">
        <f t="shared" si="23"/>
        <v>155960.16129032261</v>
      </c>
      <c r="AJ231" s="213">
        <f t="shared" si="27"/>
        <v>152982</v>
      </c>
      <c r="AK231" s="104">
        <f t="shared" si="28"/>
        <v>5844.322580645181</v>
      </c>
      <c r="AM231" s="106">
        <f>+AI231*31</f>
        <v>4834765.0000000009</v>
      </c>
    </row>
    <row r="232" spans="3:44" x14ac:dyDescent="0.2">
      <c r="C232" s="146">
        <f t="shared" si="22"/>
        <v>2012.7499925000111</v>
      </c>
      <c r="D232" s="121">
        <v>41153</v>
      </c>
      <c r="E232" s="133">
        <v>1537</v>
      </c>
      <c r="F232" s="117">
        <v>469</v>
      </c>
      <c r="G232" s="117">
        <v>2153</v>
      </c>
      <c r="H232" s="117">
        <v>756</v>
      </c>
      <c r="I232" s="117">
        <v>141</v>
      </c>
      <c r="J232" s="272">
        <v>3496</v>
      </c>
      <c r="K232" s="272"/>
      <c r="L232" s="117">
        <v>211</v>
      </c>
      <c r="M232" s="117">
        <v>14432</v>
      </c>
      <c r="N232" s="117"/>
      <c r="O232" s="117">
        <v>3034</v>
      </c>
      <c r="P232" s="117"/>
      <c r="Q232" s="117">
        <v>77</v>
      </c>
      <c r="R232" s="117">
        <v>35</v>
      </c>
      <c r="S232" s="117">
        <f>11731+1275</f>
        <v>13006</v>
      </c>
      <c r="T232" s="128">
        <f>102775/30</f>
        <v>3425.8333333333335</v>
      </c>
      <c r="U232" s="117">
        <v>9581</v>
      </c>
      <c r="V232" s="117"/>
      <c r="W232" s="117">
        <v>14599</v>
      </c>
      <c r="X232" s="117">
        <v>54439</v>
      </c>
      <c r="Y232" s="117">
        <v>38156</v>
      </c>
      <c r="Z232" s="117"/>
      <c r="AA232" s="117">
        <v>334</v>
      </c>
      <c r="AB232" s="117">
        <v>126</v>
      </c>
      <c r="AC232" s="117">
        <v>2721</v>
      </c>
      <c r="AD232" s="117"/>
      <c r="AE232" s="117"/>
      <c r="AF232" s="117"/>
      <c r="AG232" s="117"/>
      <c r="AH232" s="117"/>
      <c r="AI232" s="117">
        <f t="shared" si="23"/>
        <v>162728.83333333334</v>
      </c>
      <c r="AJ232" s="213">
        <f t="shared" si="27"/>
        <v>152982</v>
      </c>
      <c r="AK232" s="104">
        <f t="shared" si="28"/>
        <v>6768.672043010738</v>
      </c>
      <c r="AM232" s="106">
        <f>+AI232*30</f>
        <v>4881865</v>
      </c>
    </row>
    <row r="233" spans="3:44" x14ac:dyDescent="0.2">
      <c r="C233" s="146">
        <f t="shared" si="22"/>
        <v>2012.8333258000112</v>
      </c>
      <c r="D233" s="121">
        <v>41183</v>
      </c>
      <c r="E233" s="133">
        <f>42849/31</f>
        <v>1382.2258064516129</v>
      </c>
      <c r="F233" s="117">
        <v>431.35483870967744</v>
      </c>
      <c r="G233" s="117">
        <f>61849/31</f>
        <v>1995.1290322580646</v>
      </c>
      <c r="H233" s="117">
        <v>760.54838709677415</v>
      </c>
      <c r="I233" s="117">
        <v>138.38709677419354</v>
      </c>
      <c r="J233" s="272">
        <f>113288/31</f>
        <v>3654.4516129032259</v>
      </c>
      <c r="K233" s="272"/>
      <c r="L233" s="117">
        <v>215.29032258064515</v>
      </c>
      <c r="M233" s="117">
        <f>441063/31</f>
        <v>14227.838709677419</v>
      </c>
      <c r="N233" s="117"/>
      <c r="O233" s="117">
        <f>93352/31</f>
        <v>3011.3548387096776</v>
      </c>
      <c r="P233" s="117"/>
      <c r="Q233" s="117">
        <v>105.54838709677419</v>
      </c>
      <c r="R233" s="117">
        <v>35.483870967741936</v>
      </c>
      <c r="S233" s="117">
        <f>(350204+39483)/31</f>
        <v>12570.548387096775</v>
      </c>
      <c r="T233" s="117">
        <f>68704/31</f>
        <v>2216.2580645161293</v>
      </c>
      <c r="U233" s="117">
        <f>308495/31</f>
        <v>9951.4516129032254</v>
      </c>
      <c r="V233" s="117"/>
      <c r="W233" s="117">
        <f>471970/31</f>
        <v>15224.838709677419</v>
      </c>
      <c r="X233" s="117">
        <f>1938478/31</f>
        <v>62531.548387096773</v>
      </c>
      <c r="Y233" s="117">
        <f>1121258/31</f>
        <v>36169.612903225803</v>
      </c>
      <c r="Z233" s="117"/>
      <c r="AA233" s="117">
        <v>325.41935483870969</v>
      </c>
      <c r="AB233" s="117">
        <v>96.322580645161295</v>
      </c>
      <c r="AC233" s="117">
        <f>84964/31</f>
        <v>2740.7741935483873</v>
      </c>
      <c r="AD233" s="117"/>
      <c r="AE233" s="117"/>
      <c r="AF233" s="117"/>
      <c r="AG233" s="117"/>
      <c r="AH233" s="117"/>
      <c r="AI233" s="117">
        <f t="shared" si="23"/>
        <v>167784.38709677418</v>
      </c>
      <c r="AJ233" s="213">
        <f t="shared" si="27"/>
        <v>152982</v>
      </c>
      <c r="AK233" s="104">
        <f t="shared" si="28"/>
        <v>5055.5537634408392</v>
      </c>
      <c r="AM233" s="106">
        <f>+AI233*31</f>
        <v>5201316</v>
      </c>
    </row>
    <row r="234" spans="3:44" x14ac:dyDescent="0.2">
      <c r="C234" s="146">
        <f t="shared" si="22"/>
        <v>2012.9166591000112</v>
      </c>
      <c r="D234" s="121">
        <v>41214</v>
      </c>
      <c r="E234" s="133">
        <v>1417</v>
      </c>
      <c r="F234" s="117">
        <v>449</v>
      </c>
      <c r="G234" s="117">
        <v>2113</v>
      </c>
      <c r="H234" s="117">
        <v>747</v>
      </c>
      <c r="I234" s="117">
        <v>138</v>
      </c>
      <c r="J234" s="272">
        <v>3587</v>
      </c>
      <c r="K234" s="272"/>
      <c r="L234" s="117">
        <v>214</v>
      </c>
      <c r="M234" s="117">
        <v>14225</v>
      </c>
      <c r="N234" s="117"/>
      <c r="O234" s="117">
        <v>4690</v>
      </c>
      <c r="P234" s="117"/>
      <c r="Q234" s="117">
        <v>92</v>
      </c>
      <c r="R234" s="117">
        <v>30</v>
      </c>
      <c r="S234" s="117">
        <f>10484+1298</f>
        <v>11782</v>
      </c>
      <c r="T234" s="117">
        <v>3378</v>
      </c>
      <c r="U234" s="117">
        <v>9517</v>
      </c>
      <c r="V234" s="117"/>
      <c r="W234" s="117">
        <v>15594</v>
      </c>
      <c r="X234" s="117">
        <v>61860</v>
      </c>
      <c r="Y234" s="117">
        <v>31822</v>
      </c>
      <c r="Z234" s="117"/>
      <c r="AA234" s="117">
        <v>279</v>
      </c>
      <c r="AB234" s="117">
        <v>84</v>
      </c>
      <c r="AC234" s="117">
        <v>2735</v>
      </c>
      <c r="AD234" s="117"/>
      <c r="AE234" s="117"/>
      <c r="AF234" s="117"/>
      <c r="AG234" s="117"/>
      <c r="AH234" s="117"/>
      <c r="AI234" s="117">
        <f t="shared" si="23"/>
        <v>164753</v>
      </c>
      <c r="AJ234" s="213">
        <f t="shared" si="27"/>
        <v>152982</v>
      </c>
      <c r="AK234" s="104">
        <f t="shared" si="28"/>
        <v>-3031.3870967741823</v>
      </c>
      <c r="AM234" s="106">
        <f>+AI234*30</f>
        <v>4942590</v>
      </c>
    </row>
    <row r="235" spans="3:44" x14ac:dyDescent="0.2">
      <c r="C235" s="146">
        <f t="shared" si="22"/>
        <v>2012.9999924000113</v>
      </c>
      <c r="D235" s="134">
        <v>41244</v>
      </c>
      <c r="E235" s="135">
        <v>1580.6774193548388</v>
      </c>
      <c r="F235" s="130">
        <v>451.03225806451616</v>
      </c>
      <c r="G235" s="130">
        <v>2014.1612903225807</v>
      </c>
      <c r="H235" s="130">
        <v>750.80645161290317</v>
      </c>
      <c r="I235" s="130">
        <v>147.25806451612902</v>
      </c>
      <c r="J235" s="273">
        <v>3640.741935</v>
      </c>
      <c r="K235" s="273"/>
      <c r="L235" s="130">
        <v>211.29032258064515</v>
      </c>
      <c r="M235" s="130">
        <v>14069.548387096775</v>
      </c>
      <c r="N235" s="130"/>
      <c r="O235" s="130">
        <v>3449.3870967741937</v>
      </c>
      <c r="P235" s="130"/>
      <c r="Q235" s="130">
        <v>92.483870967741936</v>
      </c>
      <c r="R235" s="130">
        <v>29.419354838709676</v>
      </c>
      <c r="S235" s="130">
        <v>11086.193548387097</v>
      </c>
      <c r="T235" s="130">
        <v>3547.1612903225805</v>
      </c>
      <c r="U235" s="130">
        <v>8955.4838709677424</v>
      </c>
      <c r="V235" s="130"/>
      <c r="W235" s="130">
        <v>15099.451612903225</v>
      </c>
      <c r="X235" s="130">
        <v>60833.161290322583</v>
      </c>
      <c r="Y235" s="130">
        <v>35531.870967741932</v>
      </c>
      <c r="Z235" s="130"/>
      <c r="AA235" s="130">
        <v>302.12903225806451</v>
      </c>
      <c r="AB235" s="130">
        <v>104.96774193548387</v>
      </c>
      <c r="AC235" s="130">
        <v>2550.8064516129034</v>
      </c>
      <c r="AD235" s="130"/>
      <c r="AE235" s="130"/>
      <c r="AF235" s="130"/>
      <c r="AG235" s="130"/>
      <c r="AH235" s="130"/>
      <c r="AI235" s="117">
        <f t="shared" si="23"/>
        <v>164448.03225758066</v>
      </c>
      <c r="AJ235" s="213">
        <f>+AJ234</f>
        <v>152982</v>
      </c>
      <c r="AK235" s="104">
        <f t="shared" si="28"/>
        <v>-304.96774241933599</v>
      </c>
    </row>
    <row r="236" spans="3:44" x14ac:dyDescent="0.2">
      <c r="C236" s="146">
        <f t="shared" si="22"/>
        <v>2013.0833257000113</v>
      </c>
      <c r="D236" s="116">
        <v>41275</v>
      </c>
      <c r="E236" s="117">
        <f>43511/31</f>
        <v>1403.5806451612902</v>
      </c>
      <c r="F236" s="117">
        <f>13234/31</f>
        <v>426.90322580645159</v>
      </c>
      <c r="G236" s="117">
        <f>62545/31</f>
        <v>2017.5806451612902</v>
      </c>
      <c r="H236" s="117">
        <f>22887/31</f>
        <v>738.29032258064512</v>
      </c>
      <c r="I236" s="117">
        <f>4345/31</f>
        <v>140.16129032258064</v>
      </c>
      <c r="J236" s="273">
        <f>104345/31</f>
        <v>3365.9677419354839</v>
      </c>
      <c r="K236" s="273"/>
      <c r="L236" s="117">
        <f>6485/31</f>
        <v>209.19354838709677</v>
      </c>
      <c r="M236" s="117">
        <f>433594/31</f>
        <v>13986.903225806451</v>
      </c>
      <c r="N236" s="117"/>
      <c r="O236" s="117">
        <f>107456/31</f>
        <v>3466.3225806451615</v>
      </c>
      <c r="P236" s="117"/>
      <c r="Q236" s="117">
        <f>2783/31</f>
        <v>89.774193548387103</v>
      </c>
      <c r="R236" s="117">
        <f>1056/31</f>
        <v>34.064516129032256</v>
      </c>
      <c r="S236" s="117">
        <f>(291136+41706)/31</f>
        <v>10736.838709677419</v>
      </c>
      <c r="T236" s="117">
        <f>68885/31</f>
        <v>2222.0967741935483</v>
      </c>
      <c r="U236" s="117">
        <f>274549/31</f>
        <v>8856.4193548387102</v>
      </c>
      <c r="V236" s="117"/>
      <c r="W236" s="117">
        <f>483854/31</f>
        <v>15608.193548387097</v>
      </c>
      <c r="X236" s="117">
        <f>1900876/31</f>
        <v>61318.580645161288</v>
      </c>
      <c r="Y236" s="117">
        <f>1173508/31</f>
        <v>37855.096774193546</v>
      </c>
      <c r="Z236" s="117"/>
      <c r="AA236" s="117">
        <f>10038/31</f>
        <v>323.80645161290323</v>
      </c>
      <c r="AB236" s="117">
        <f>2709/31</f>
        <v>87.387096774193552</v>
      </c>
      <c r="AC236" s="117">
        <f>71544/31</f>
        <v>2307.8709677419356</v>
      </c>
      <c r="AD236" s="117"/>
      <c r="AE236" s="117"/>
      <c r="AF236" s="117"/>
      <c r="AG236" s="117"/>
      <c r="AH236" s="124"/>
      <c r="AI236" s="117">
        <f t="shared" si="23"/>
        <v>165195.03225806452</v>
      </c>
      <c r="AJ236" s="211">
        <v>167515</v>
      </c>
      <c r="AK236" s="104">
        <f t="shared" si="28"/>
        <v>747.00000048385118</v>
      </c>
    </row>
    <row r="237" spans="3:44" x14ac:dyDescent="0.2">
      <c r="C237" s="146">
        <f t="shared" si="22"/>
        <v>2013.1666590000114</v>
      </c>
      <c r="D237" s="116">
        <v>41306</v>
      </c>
      <c r="E237" s="117">
        <f>44296/28</f>
        <v>1582</v>
      </c>
      <c r="F237" s="117">
        <f>12254/28</f>
        <v>437.64285714285717</v>
      </c>
      <c r="G237" s="117">
        <f>58452/28</f>
        <v>2087.5714285714284</v>
      </c>
      <c r="H237" s="117">
        <f>20499/28</f>
        <v>732.10714285714289</v>
      </c>
      <c r="I237" s="117">
        <f>3814/28</f>
        <v>136.21428571428572</v>
      </c>
      <c r="J237" s="273">
        <f>98920/28</f>
        <v>3532.8571428571427</v>
      </c>
      <c r="K237" s="273"/>
      <c r="L237" s="117">
        <f>5962/28</f>
        <v>212.92857142857142</v>
      </c>
      <c r="M237" s="117">
        <f>378330/28</f>
        <v>13511.785714285714</v>
      </c>
      <c r="N237" s="117"/>
      <c r="O237" s="117">
        <f>104623/28</f>
        <v>3736.5357142857142</v>
      </c>
      <c r="P237" s="117"/>
      <c r="Q237" s="117">
        <f>2763/28</f>
        <v>98.678571428571431</v>
      </c>
      <c r="R237" s="117">
        <f>1037/28</f>
        <v>37.035714285714285</v>
      </c>
      <c r="S237" s="117">
        <f>+(261076+36846)/28</f>
        <v>10640.071428571429</v>
      </c>
      <c r="T237" s="117">
        <f>95954/28</f>
        <v>3426.9285714285716</v>
      </c>
      <c r="U237" s="117">
        <f>255843/28</f>
        <v>9137.25</v>
      </c>
      <c r="V237" s="117"/>
      <c r="W237" s="117">
        <f>423564/28</f>
        <v>15127.285714285714</v>
      </c>
      <c r="X237" s="117">
        <f>1888315/28</f>
        <v>67439.821428571435</v>
      </c>
      <c r="Y237" s="117">
        <f>1070133/28</f>
        <v>38219.035714285717</v>
      </c>
      <c r="Z237" s="117"/>
      <c r="AA237" s="117">
        <f>7398/28</f>
        <v>264.21428571428572</v>
      </c>
      <c r="AB237" s="117">
        <f>1816/28</f>
        <v>64.857142857142861</v>
      </c>
      <c r="AC237" s="117">
        <f>74942/28</f>
        <v>2676.5</v>
      </c>
      <c r="AD237" s="117"/>
      <c r="AE237" s="117"/>
      <c r="AF237" s="117">
        <f>1082/28</f>
        <v>38.642857142857146</v>
      </c>
      <c r="AG237" s="117">
        <f>13259/28</f>
        <v>473.53571428571428</v>
      </c>
      <c r="AH237" s="117"/>
      <c r="AI237" s="117">
        <f>SUM(E237:AH237)</f>
        <v>173613.5</v>
      </c>
      <c r="AJ237" s="211">
        <f t="shared" ref="AJ237:AJ247" si="29">+AJ236</f>
        <v>167515</v>
      </c>
      <c r="AK237" s="117">
        <f t="shared" si="28"/>
        <v>8418.4677419354848</v>
      </c>
      <c r="AL237" s="117"/>
      <c r="AM237" s="117"/>
      <c r="AN237" s="117"/>
      <c r="AO237" s="117"/>
      <c r="AP237" s="117"/>
      <c r="AQ237" s="117"/>
      <c r="AR237" s="117"/>
    </row>
    <row r="238" spans="3:44" x14ac:dyDescent="0.2">
      <c r="C238" s="146">
        <f t="shared" si="22"/>
        <v>2013.2499923000114</v>
      </c>
      <c r="D238" s="116">
        <v>41334</v>
      </c>
      <c r="E238" s="117">
        <f>46866/31</f>
        <v>1511.8064516129032</v>
      </c>
      <c r="F238" s="117">
        <f>12924/31</f>
        <v>416.90322580645159</v>
      </c>
      <c r="G238" s="117">
        <f>63732/31</f>
        <v>2055.8709677419356</v>
      </c>
      <c r="H238" s="117">
        <f>21420/31</f>
        <v>690.9677419354839</v>
      </c>
      <c r="I238" s="117">
        <f>3821/31</f>
        <v>123.25806451612904</v>
      </c>
      <c r="J238" s="273">
        <f>93904/31</f>
        <v>3029.1612903225805</v>
      </c>
      <c r="K238" s="273"/>
      <c r="L238" s="117">
        <f>6524/31</f>
        <v>210.45161290322579</v>
      </c>
      <c r="M238" s="117">
        <f>398341/31</f>
        <v>12849.709677419354</v>
      </c>
      <c r="N238" s="124"/>
      <c r="O238" s="117">
        <f>119399/31</f>
        <v>3851.5806451612902</v>
      </c>
      <c r="P238" s="124"/>
      <c r="Q238" s="117">
        <v>95.096774193548384</v>
      </c>
      <c r="R238" s="117">
        <v>32.677419354838712</v>
      </c>
      <c r="S238" s="117">
        <f>+(297030+43307)/31</f>
        <v>10978.612903225807</v>
      </c>
      <c r="T238" s="117">
        <f>87181/31</f>
        <v>2812.2903225806454</v>
      </c>
      <c r="U238" s="117">
        <f>259960/31</f>
        <v>8385.8064516129034</v>
      </c>
      <c r="V238" s="117"/>
      <c r="W238" s="117">
        <f>486749/31</f>
        <v>15701.58064516129</v>
      </c>
      <c r="X238" s="117">
        <f>1938237/31</f>
        <v>62523.774193548386</v>
      </c>
      <c r="Y238" s="117">
        <f>1277480/31</f>
        <v>41209.032258064515</v>
      </c>
      <c r="Z238" s="117"/>
      <c r="AA238" s="117">
        <v>383.41935483870969</v>
      </c>
      <c r="AB238" s="117">
        <v>137.16129032258064</v>
      </c>
      <c r="AC238" s="117">
        <f>79216/31</f>
        <v>2555.3548387096776</v>
      </c>
      <c r="AD238" s="117"/>
      <c r="AE238" s="117"/>
      <c r="AF238" s="117">
        <v>0</v>
      </c>
      <c r="AG238" s="117">
        <v>404.54838709677421</v>
      </c>
      <c r="AH238" s="117"/>
      <c r="AI238" s="117">
        <f t="shared" ref="AI238:AI252" si="30">SUM(E238:AH238)</f>
        <v>169959.064516129</v>
      </c>
      <c r="AJ238" s="211">
        <f t="shared" si="29"/>
        <v>167515</v>
      </c>
      <c r="AK238" s="104">
        <f t="shared" si="28"/>
        <v>-3654.4354838709987</v>
      </c>
    </row>
    <row r="239" spans="3:44" x14ac:dyDescent="0.2">
      <c r="C239" s="146">
        <f t="shared" si="22"/>
        <v>2013.3333256000114</v>
      </c>
      <c r="D239" s="116">
        <v>41365</v>
      </c>
      <c r="E239" s="125">
        <f>42622/30</f>
        <v>1420.7333333333333</v>
      </c>
      <c r="F239" s="125">
        <f>12164/30</f>
        <v>405.46666666666664</v>
      </c>
      <c r="G239" s="125">
        <f>58346/30</f>
        <v>1944.8666666666666</v>
      </c>
      <c r="H239" s="125">
        <f>21493/30</f>
        <v>716.43333333333328</v>
      </c>
      <c r="I239" s="124">
        <f>3585/30</f>
        <v>119.5</v>
      </c>
      <c r="J239" s="270">
        <f>95861/30</f>
        <v>3195.3666666666668</v>
      </c>
      <c r="K239" s="271"/>
      <c r="L239" s="124">
        <f>6192/30</f>
        <v>206.4</v>
      </c>
      <c r="M239" s="117">
        <f>382649/30</f>
        <v>12754.966666666667</v>
      </c>
      <c r="N239" s="124"/>
      <c r="O239" s="124">
        <f>121147/30</f>
        <v>4038.2333333333331</v>
      </c>
      <c r="P239" s="124"/>
      <c r="Q239" s="124">
        <f>2672/30</f>
        <v>89.066666666666663</v>
      </c>
      <c r="R239" s="124">
        <f>968/30</f>
        <v>32.266666666666666</v>
      </c>
      <c r="S239" s="117">
        <f>(295455+42080)/30</f>
        <v>11251.166666666666</v>
      </c>
      <c r="T239" s="117">
        <f>103805/30</f>
        <v>3460.1666666666665</v>
      </c>
      <c r="U239" s="117">
        <f>280358/30</f>
        <v>9345.2666666666664</v>
      </c>
      <c r="V239" s="117"/>
      <c r="W239" s="117">
        <f>442192/30</f>
        <v>14739.733333333334</v>
      </c>
      <c r="X239" s="117">
        <f>1885673/30</f>
        <v>62855.76666666667</v>
      </c>
      <c r="Y239" s="117">
        <f>1225422/30</f>
        <v>40847.4</v>
      </c>
      <c r="Z239" s="117"/>
      <c r="AA239" s="117">
        <v>208.06666666666666</v>
      </c>
      <c r="AB239" s="117">
        <v>76.666666666666671</v>
      </c>
      <c r="AC239" s="117">
        <f>67532/30</f>
        <v>2251.0666666666666</v>
      </c>
      <c r="AD239" s="117"/>
      <c r="AE239" s="117"/>
      <c r="AF239" s="117"/>
      <c r="AG239" s="117">
        <v>319.76666666666665</v>
      </c>
      <c r="AH239" s="117"/>
      <c r="AI239" s="117">
        <f t="shared" si="30"/>
        <v>170278.36666666667</v>
      </c>
      <c r="AJ239" s="211">
        <f t="shared" si="29"/>
        <v>167515</v>
      </c>
      <c r="AK239" s="104">
        <f t="shared" si="28"/>
        <v>319.30215053766733</v>
      </c>
    </row>
    <row r="240" spans="3:44" ht="13.5" customHeight="1" x14ac:dyDescent="0.2">
      <c r="C240" s="146">
        <f t="shared" si="22"/>
        <v>2013.4166589000115</v>
      </c>
      <c r="D240" s="116">
        <v>41395</v>
      </c>
      <c r="E240" s="125">
        <f>42762/31</f>
        <v>1379.4193548387098</v>
      </c>
      <c r="F240" s="126">
        <f>12891/31</f>
        <v>415.83870967741933</v>
      </c>
      <c r="G240" s="126">
        <f>55674/31</f>
        <v>1795.9354838709678</v>
      </c>
      <c r="H240" s="126">
        <f>21796/31</f>
        <v>703.09677419354841</v>
      </c>
      <c r="I240" s="126">
        <f>3925/31</f>
        <v>126.61290322580645</v>
      </c>
      <c r="J240" s="270">
        <f>109894/31</f>
        <v>3544.9677419354839</v>
      </c>
      <c r="K240" s="271"/>
      <c r="L240" s="124">
        <f>6351/31</f>
        <v>204.87096774193549</v>
      </c>
      <c r="M240" s="125">
        <f>388960/31</f>
        <v>12547.096774193549</v>
      </c>
      <c r="N240" s="125"/>
      <c r="O240" s="125">
        <f>136474/31</f>
        <v>4402.3870967741932</v>
      </c>
      <c r="P240" s="125"/>
      <c r="Q240" s="125">
        <f>2870/31</f>
        <v>92.58064516129032</v>
      </c>
      <c r="R240" s="125">
        <f>915/30</f>
        <v>30.5</v>
      </c>
      <c r="S240" s="125">
        <f>+(325284+39069)/31</f>
        <v>11753.322580645161</v>
      </c>
      <c r="T240" s="125">
        <f>66032/31</f>
        <v>2130.0645161290322</v>
      </c>
      <c r="U240" s="125">
        <f>327381/31</f>
        <v>10560.677419354839</v>
      </c>
      <c r="V240" s="125"/>
      <c r="W240" s="125">
        <f>454705/31</f>
        <v>14667.903225806451</v>
      </c>
      <c r="X240" s="125">
        <f>1987288/31</f>
        <v>64106.06451612903</v>
      </c>
      <c r="Y240" s="125">
        <f>1210405/31</f>
        <v>39045.322580645159</v>
      </c>
      <c r="Z240" s="125"/>
      <c r="AA240" s="125">
        <v>264.38709677419354</v>
      </c>
      <c r="AB240" s="125">
        <v>103.41935483870968</v>
      </c>
      <c r="AC240" s="125">
        <f>70832/31</f>
        <v>2284.9032258064517</v>
      </c>
      <c r="AD240" s="125"/>
      <c r="AE240" s="125"/>
      <c r="AF240" s="125">
        <v>164.45161290322579</v>
      </c>
      <c r="AG240" s="125">
        <v>206.90322580645162</v>
      </c>
      <c r="AH240" s="125"/>
      <c r="AI240" s="117">
        <f t="shared" si="30"/>
        <v>170530.72580645158</v>
      </c>
      <c r="AJ240" s="211">
        <f t="shared" si="29"/>
        <v>167515</v>
      </c>
      <c r="AK240" s="104">
        <f t="shared" si="28"/>
        <v>252.35913978490862</v>
      </c>
    </row>
    <row r="241" spans="3:39" x14ac:dyDescent="0.2">
      <c r="C241" s="146">
        <f t="shared" si="22"/>
        <v>2013.4999922000115</v>
      </c>
      <c r="D241" s="116">
        <v>41426</v>
      </c>
      <c r="E241" s="125">
        <f>38875/30</f>
        <v>1295.8333333333333</v>
      </c>
      <c r="F241" s="125">
        <f>12327/30</f>
        <v>410.9</v>
      </c>
      <c r="G241" s="125">
        <f>51923/30</f>
        <v>1730.7666666666667</v>
      </c>
      <c r="H241" s="125">
        <f>22265/30</f>
        <v>742.16666666666663</v>
      </c>
      <c r="I241" s="125">
        <f>3841/30</f>
        <v>128.03333333333333</v>
      </c>
      <c r="J241" s="270">
        <f>92416/30</f>
        <v>3080.5333333333333</v>
      </c>
      <c r="K241" s="271"/>
      <c r="L241" s="125">
        <f>5949/30</f>
        <v>198.3</v>
      </c>
      <c r="M241" s="125">
        <f>365329/30</f>
        <v>12177.633333333333</v>
      </c>
      <c r="N241" s="125"/>
      <c r="O241" s="125">
        <f>156046/30</f>
        <v>5201.5333333333338</v>
      </c>
      <c r="P241" s="125"/>
      <c r="Q241" s="125">
        <f>2141/30</f>
        <v>71.36666666666666</v>
      </c>
      <c r="R241" s="125">
        <f>707/30</f>
        <v>23.566666666666666</v>
      </c>
      <c r="S241" s="125">
        <f>+(315619+41663)/30</f>
        <v>11909.4</v>
      </c>
      <c r="T241" s="125">
        <f>96526/30</f>
        <v>3217.5333333333333</v>
      </c>
      <c r="U241" s="125">
        <f>296881/30</f>
        <v>9896.0333333333328</v>
      </c>
      <c r="V241" s="125"/>
      <c r="W241" s="125">
        <f>447865/30</f>
        <v>14928.833333333334</v>
      </c>
      <c r="X241" s="125">
        <f>1954132/30</f>
        <v>65137.73333333333</v>
      </c>
      <c r="Y241" s="125">
        <f>1180450/30</f>
        <v>39348.333333333336</v>
      </c>
      <c r="Z241" s="125"/>
      <c r="AA241" s="125">
        <v>335.03333333333336</v>
      </c>
      <c r="AB241" s="125">
        <v>129.06666666666666</v>
      </c>
      <c r="AC241" s="125">
        <f>75701/30</f>
        <v>2523.3666666666668</v>
      </c>
      <c r="AD241" s="125"/>
      <c r="AE241" s="125"/>
      <c r="AF241" s="125">
        <v>0</v>
      </c>
      <c r="AG241" s="125">
        <v>194.06666666666666</v>
      </c>
      <c r="AH241" s="125"/>
      <c r="AI241" s="117">
        <f t="shared" si="30"/>
        <v>172680.03333333335</v>
      </c>
      <c r="AJ241" s="211">
        <f t="shared" si="29"/>
        <v>167515</v>
      </c>
      <c r="AK241" s="104">
        <f t="shared" si="28"/>
        <v>2149.3075268817774</v>
      </c>
    </row>
    <row r="242" spans="3:39" x14ac:dyDescent="0.2">
      <c r="C242" s="146">
        <f t="shared" si="22"/>
        <v>2013.5833255000116</v>
      </c>
      <c r="D242" s="116">
        <v>41456</v>
      </c>
      <c r="E242" s="125">
        <f>39620/31</f>
        <v>1278.0645161290322</v>
      </c>
      <c r="F242" s="125">
        <f>12318/31</f>
        <v>397.35483870967744</v>
      </c>
      <c r="G242" s="125">
        <f>65141/31</f>
        <v>2101.3225806451615</v>
      </c>
      <c r="H242" s="125">
        <f>17434/31</f>
        <v>562.38709677419354</v>
      </c>
      <c r="I242" s="125">
        <f>4505/31</f>
        <v>145.32258064516128</v>
      </c>
      <c r="J242" s="270">
        <f>112945/31</f>
        <v>3643.3870967741937</v>
      </c>
      <c r="K242" s="271"/>
      <c r="L242" s="125">
        <f>6095/31</f>
        <v>196.61290322580646</v>
      </c>
      <c r="M242" s="125">
        <f>345220/31</f>
        <v>11136.129032258064</v>
      </c>
      <c r="N242" s="125"/>
      <c r="O242" s="125">
        <f>156385/31</f>
        <v>5044.677419354839</v>
      </c>
      <c r="P242" s="125"/>
      <c r="Q242" s="125">
        <f>2735/31</f>
        <v>88.225806451612897</v>
      </c>
      <c r="R242" s="125">
        <f>939/31</f>
        <v>30.29032258064516</v>
      </c>
      <c r="S242" s="125">
        <f>+(314332+34159)/31</f>
        <v>11241.645161290322</v>
      </c>
      <c r="T242" s="125">
        <f>88323/31</f>
        <v>2849.1290322580644</v>
      </c>
      <c r="U242" s="125">
        <f>295043/31</f>
        <v>9517.5161290322576</v>
      </c>
      <c r="V242" s="125"/>
      <c r="W242" s="125">
        <f>452248/31</f>
        <v>14588.645161290322</v>
      </c>
      <c r="X242" s="125">
        <f>2053407/31</f>
        <v>66238.93548387097</v>
      </c>
      <c r="Y242" s="125">
        <f>1023591/31</f>
        <v>33019.06451612903</v>
      </c>
      <c r="Z242" s="125"/>
      <c r="AA242" s="125">
        <v>263.41935483870969</v>
      </c>
      <c r="AB242" s="125">
        <v>92.129032258064512</v>
      </c>
      <c r="AC242" s="125">
        <f>63649/31</f>
        <v>2053.1935483870966</v>
      </c>
      <c r="AD242" s="125"/>
      <c r="AE242" s="125"/>
      <c r="AF242" s="125">
        <v>0</v>
      </c>
      <c r="AG242" s="125">
        <v>103.45161290322581</v>
      </c>
      <c r="AH242" s="125"/>
      <c r="AI242" s="117">
        <f t="shared" si="30"/>
        <v>164590.9032258064</v>
      </c>
      <c r="AJ242" s="211">
        <f t="shared" si="29"/>
        <v>167515</v>
      </c>
      <c r="AK242" s="104">
        <f t="shared" si="28"/>
        <v>-8089.1301075269585</v>
      </c>
    </row>
    <row r="243" spans="3:39" x14ac:dyDescent="0.2">
      <c r="C243" s="146">
        <f t="shared" si="22"/>
        <v>2013.6666588000116</v>
      </c>
      <c r="D243" s="116">
        <v>41487</v>
      </c>
      <c r="E243" s="125">
        <f>42789/31</f>
        <v>1380.2903225806451</v>
      </c>
      <c r="F243" s="125">
        <f>13570/31</f>
        <v>437.74193548387098</v>
      </c>
      <c r="G243" s="125">
        <f>61100/31</f>
        <v>1970.9677419354839</v>
      </c>
      <c r="H243" s="125">
        <f>28127/31</f>
        <v>907.32258064516134</v>
      </c>
      <c r="I243" s="125">
        <f>4088/31</f>
        <v>131.87096774193549</v>
      </c>
      <c r="J243" s="270">
        <f>115529/31</f>
        <v>3726.7419354838707</v>
      </c>
      <c r="K243" s="271"/>
      <c r="L243" s="125">
        <f>6342/31</f>
        <v>204.58064516129033</v>
      </c>
      <c r="M243" s="125">
        <f>316930/31</f>
        <v>10223.548387096775</v>
      </c>
      <c r="N243" s="125"/>
      <c r="O243" s="125">
        <f>175760/31</f>
        <v>5669.677419354839</v>
      </c>
      <c r="P243" s="125"/>
      <c r="Q243" s="125">
        <f>2659/31</f>
        <v>85.774193548387103</v>
      </c>
      <c r="R243" s="125">
        <f>903/31</f>
        <v>29.129032258064516</v>
      </c>
      <c r="S243" s="125">
        <f>(314803+37704)/31</f>
        <v>11371.193548387097</v>
      </c>
      <c r="T243" s="125">
        <v>1047.6129032258063</v>
      </c>
      <c r="U243" s="125">
        <f>299691/31</f>
        <v>9667.4516129032254</v>
      </c>
      <c r="V243" s="125"/>
      <c r="W243" s="125">
        <f>471975/31</f>
        <v>15225</v>
      </c>
      <c r="X243" s="125">
        <f>2082905/31</f>
        <v>67190.483870967742</v>
      </c>
      <c r="Y243" s="125">
        <f>1181110/31</f>
        <v>38100.322580645159</v>
      </c>
      <c r="Z243" s="125"/>
      <c r="AA243" s="125">
        <v>373.09677419354841</v>
      </c>
      <c r="AB243" s="125">
        <v>133.2258064516129</v>
      </c>
      <c r="AC243" s="125">
        <f>66408/31</f>
        <v>2142.1935483870966</v>
      </c>
      <c r="AD243" s="125"/>
      <c r="AE243" s="125"/>
      <c r="AF243" s="125">
        <v>0</v>
      </c>
      <c r="AG243" s="125">
        <v>0</v>
      </c>
      <c r="AH243" s="125"/>
      <c r="AI243" s="117">
        <f t="shared" si="30"/>
        <v>170018.22580645158</v>
      </c>
      <c r="AJ243" s="211">
        <f t="shared" si="29"/>
        <v>167515</v>
      </c>
      <c r="AK243" s="104">
        <f t="shared" si="28"/>
        <v>5427.322580645181</v>
      </c>
    </row>
    <row r="244" spans="3:39" x14ac:dyDescent="0.2">
      <c r="C244" s="146">
        <f t="shared" si="22"/>
        <v>2013.7499921000117</v>
      </c>
      <c r="D244" s="116">
        <v>41518</v>
      </c>
      <c r="E244" s="125">
        <f>41277/30</f>
        <v>1375.9</v>
      </c>
      <c r="F244" s="125">
        <f>12927/30</f>
        <v>430.9</v>
      </c>
      <c r="G244" s="125">
        <f>53074/30</f>
        <v>1769.1333333333334</v>
      </c>
      <c r="H244" s="125">
        <f>21975/30</f>
        <v>732.5</v>
      </c>
      <c r="I244" s="125">
        <v>134.26666666666668</v>
      </c>
      <c r="J244" s="270">
        <f>111777/30</f>
        <v>3725.9</v>
      </c>
      <c r="K244" s="271"/>
      <c r="L244" s="125">
        <v>206.2</v>
      </c>
      <c r="M244" s="125">
        <f>289230/30</f>
        <v>9641</v>
      </c>
      <c r="N244" s="125"/>
      <c r="O244" s="125">
        <f>181478/30</f>
        <v>6049.2666666666664</v>
      </c>
      <c r="P244" s="125"/>
      <c r="Q244" s="125">
        <v>88.466666666666669</v>
      </c>
      <c r="R244" s="125">
        <v>32.43333333333333</v>
      </c>
      <c r="S244" s="125">
        <f>+(322853+37451)/30</f>
        <v>12010.133333333333</v>
      </c>
      <c r="T244" s="125">
        <f>120516/30</f>
        <v>4017.2</v>
      </c>
      <c r="U244" s="125">
        <f>262614/30</f>
        <v>8753.7999999999993</v>
      </c>
      <c r="V244" s="125"/>
      <c r="W244" s="125">
        <f>446041/30</f>
        <v>14868.033333333333</v>
      </c>
      <c r="X244" s="125">
        <f>1794112/30</f>
        <v>59803.73333333333</v>
      </c>
      <c r="Y244" s="125">
        <f>1140242/30</f>
        <v>38008.066666666666</v>
      </c>
      <c r="Z244" s="125"/>
      <c r="AA244" s="125">
        <v>263.96666666666664</v>
      </c>
      <c r="AB244" s="125">
        <v>97.2</v>
      </c>
      <c r="AC244" s="125">
        <f>66431/30</f>
        <v>2214.3666666666668</v>
      </c>
      <c r="AD244" s="125"/>
      <c r="AE244" s="125"/>
      <c r="AF244" s="125">
        <v>0</v>
      </c>
      <c r="AG244" s="125">
        <v>0</v>
      </c>
      <c r="AH244" s="125"/>
      <c r="AI244" s="117">
        <f t="shared" si="30"/>
        <v>164222.4666666667</v>
      </c>
      <c r="AJ244" s="211">
        <f t="shared" si="29"/>
        <v>167515</v>
      </c>
      <c r="AK244" s="104">
        <f t="shared" si="28"/>
        <v>-5795.7591397848737</v>
      </c>
      <c r="AM244" s="106">
        <f>2213*30</f>
        <v>66390</v>
      </c>
    </row>
    <row r="245" spans="3:39" x14ac:dyDescent="0.2">
      <c r="C245" s="146">
        <f t="shared" si="22"/>
        <v>2013.8333254000117</v>
      </c>
      <c r="D245" s="116">
        <v>41548</v>
      </c>
      <c r="E245" s="125">
        <f>46176/31</f>
        <v>1489.5483870967741</v>
      </c>
      <c r="F245" s="125">
        <f>13337/31</f>
        <v>430.22580645161293</v>
      </c>
      <c r="G245" s="125">
        <f>52513/31</f>
        <v>1693.9677419354839</v>
      </c>
      <c r="H245" s="125">
        <f>21460/31</f>
        <v>692.25806451612902</v>
      </c>
      <c r="I245" s="125">
        <f>4285/31</f>
        <v>138.2258064516129</v>
      </c>
      <c r="J245" s="270">
        <f>110419/31</f>
        <v>3561.9032258064517</v>
      </c>
      <c r="K245" s="271"/>
      <c r="L245" s="125">
        <f>6326/31</f>
        <v>204.06451612903226</v>
      </c>
      <c r="M245" s="125">
        <f>293206/31</f>
        <v>9458.2580645161288</v>
      </c>
      <c r="N245" s="125"/>
      <c r="O245" s="125">
        <f>158448/31</f>
        <v>5111.2258064516127</v>
      </c>
      <c r="P245" s="125"/>
      <c r="Q245" s="125">
        <f>2493/31</f>
        <v>80.41935483870968</v>
      </c>
      <c r="R245" s="125">
        <f>956/31</f>
        <v>30.838709677419356</v>
      </c>
      <c r="S245" s="125">
        <f>(328002+41086)/31</f>
        <v>11906.064516129032</v>
      </c>
      <c r="T245" s="125">
        <v>999.19354838709683</v>
      </c>
      <c r="U245" s="125">
        <f>309727/31</f>
        <v>9991.1935483870966</v>
      </c>
      <c r="V245" s="125"/>
      <c r="W245" s="136">
        <f>413312/31</f>
        <v>13332.645161290322</v>
      </c>
      <c r="X245" s="125">
        <f>1588429/31</f>
        <v>51239.645161290326</v>
      </c>
      <c r="Y245" s="125">
        <f>1173599/31</f>
        <v>37858.032258064515</v>
      </c>
      <c r="Z245" s="125"/>
      <c r="AA245" s="125">
        <v>285.90322580645159</v>
      </c>
      <c r="AB245" s="125">
        <v>97.612903225806448</v>
      </c>
      <c r="AC245" s="125">
        <f>62988/31</f>
        <v>2031.8709677419354</v>
      </c>
      <c r="AD245" s="125"/>
      <c r="AE245" s="125"/>
      <c r="AF245" s="125">
        <v>0</v>
      </c>
      <c r="AG245" s="125">
        <v>0</v>
      </c>
      <c r="AH245" s="125"/>
      <c r="AI245" s="117">
        <f t="shared" si="30"/>
        <v>150633.09677419357</v>
      </c>
      <c r="AJ245" s="211">
        <f t="shared" si="29"/>
        <v>167515</v>
      </c>
      <c r="AK245" s="104">
        <f t="shared" si="28"/>
        <v>-13589.369892473129</v>
      </c>
      <c r="AM245" s="106">
        <f>2213*31</f>
        <v>68603</v>
      </c>
    </row>
    <row r="246" spans="3:39" x14ac:dyDescent="0.2">
      <c r="C246" s="146">
        <f t="shared" si="22"/>
        <v>2013.9166587000118</v>
      </c>
      <c r="D246" s="116">
        <v>41579</v>
      </c>
      <c r="E246" s="125">
        <f>49971/30</f>
        <v>1665.7</v>
      </c>
      <c r="F246" s="125">
        <v>436.96666666666664</v>
      </c>
      <c r="G246" s="125">
        <f>60432/30</f>
        <v>2014.4</v>
      </c>
      <c r="H246" s="125">
        <v>673.2</v>
      </c>
      <c r="I246" s="125">
        <v>129.4</v>
      </c>
      <c r="J246" s="270">
        <f>105792/30</f>
        <v>3526.4</v>
      </c>
      <c r="K246" s="271"/>
      <c r="L246" s="125">
        <v>202.23333333333332</v>
      </c>
      <c r="M246" s="125">
        <f>312827/30</f>
        <v>10427.566666666668</v>
      </c>
      <c r="N246" s="125"/>
      <c r="O246" s="125">
        <f>180186/30</f>
        <v>6006.2</v>
      </c>
      <c r="P246" s="125"/>
      <c r="Q246" s="125">
        <v>80.63333333333334</v>
      </c>
      <c r="R246" s="125">
        <f>752/30</f>
        <v>25.066666666666666</v>
      </c>
      <c r="S246" s="117">
        <f>+(320575+40362)/30</f>
        <v>12031.233333333334</v>
      </c>
      <c r="T246" s="117">
        <f>114889/30</f>
        <v>3829.6333333333332</v>
      </c>
      <c r="U246" s="117">
        <f>296319/30</f>
        <v>9877.2999999999993</v>
      </c>
      <c r="V246" s="117"/>
      <c r="W246" s="117">
        <f>424163/30</f>
        <v>14138.766666666666</v>
      </c>
      <c r="X246" s="117">
        <f>1978200/30</f>
        <v>65940</v>
      </c>
      <c r="Y246" s="117">
        <f>1108244/30</f>
        <v>36941.466666666667</v>
      </c>
      <c r="Z246" s="117"/>
      <c r="AA246" s="117">
        <v>209.96666666666667</v>
      </c>
      <c r="AB246" s="117">
        <v>90.833333333333329</v>
      </c>
      <c r="AC246" s="117">
        <f>66359/30</f>
        <v>2211.9666666666667</v>
      </c>
      <c r="AE246" s="117"/>
      <c r="AF246" s="117">
        <v>0</v>
      </c>
      <c r="AG246" s="117">
        <v>0</v>
      </c>
      <c r="AH246" s="117"/>
      <c r="AI246" s="117">
        <f t="shared" si="30"/>
        <v>170458.93333333335</v>
      </c>
      <c r="AJ246" s="211">
        <f t="shared" si="29"/>
        <v>167515</v>
      </c>
      <c r="AK246" s="104">
        <f t="shared" si="28"/>
        <v>19825.836559139774</v>
      </c>
    </row>
    <row r="247" spans="3:39" x14ac:dyDescent="0.2">
      <c r="C247" s="146">
        <f t="shared" si="22"/>
        <v>2013.9999920000118</v>
      </c>
      <c r="D247" s="116">
        <v>41609</v>
      </c>
      <c r="E247" s="125">
        <f>54080/31</f>
        <v>1744.516129032258</v>
      </c>
      <c r="F247" s="125">
        <f>13471/31</f>
        <v>434.54838709677421</v>
      </c>
      <c r="G247" s="125">
        <f>65913/31</f>
        <v>2126.2258064516127</v>
      </c>
      <c r="H247" s="125">
        <f>20252/31</f>
        <v>653.29032258064512</v>
      </c>
      <c r="I247" s="125">
        <f>4072/31</f>
        <v>131.35483870967741</v>
      </c>
      <c r="J247" s="270">
        <f>110534/31</f>
        <v>3565.6129032258063</v>
      </c>
      <c r="K247" s="271"/>
      <c r="L247" s="125">
        <f>6188/31</f>
        <v>199.61290322580646</v>
      </c>
      <c r="M247" s="125">
        <f>316360/31</f>
        <v>10205.161290322581</v>
      </c>
      <c r="N247" s="124"/>
      <c r="O247" s="125">
        <f>220077/31</f>
        <v>7099.2580645161288</v>
      </c>
      <c r="P247" s="124"/>
      <c r="Q247" s="125">
        <f>2547/31</f>
        <v>82.161290322580641</v>
      </c>
      <c r="R247" s="125">
        <f>1043/31</f>
        <v>33.645161290322584</v>
      </c>
      <c r="S247" s="117">
        <f>(343285+43738)/31</f>
        <v>12484.612903225807</v>
      </c>
      <c r="T247" s="117">
        <f>87575/31</f>
        <v>2825</v>
      </c>
      <c r="U247" s="117">
        <f>324372/31</f>
        <v>10463.612903225807</v>
      </c>
      <c r="V247" s="117"/>
      <c r="W247" s="117">
        <f>460670/31</f>
        <v>14860.322580645161</v>
      </c>
      <c r="X247" s="117">
        <f>1887190/31</f>
        <v>60877.096774193546</v>
      </c>
      <c r="Y247" s="117">
        <f>1167021/31</f>
        <v>37645.838709677417</v>
      </c>
      <c r="Z247" s="117"/>
      <c r="AA247" s="117">
        <v>400.96774193548384</v>
      </c>
      <c r="AB247" s="117">
        <v>125.64516129032258</v>
      </c>
      <c r="AC247" s="117">
        <f>72325/31</f>
        <v>2333.0645161290322</v>
      </c>
      <c r="AD247" s="117">
        <v>463.32258064516128</v>
      </c>
      <c r="AE247" s="117">
        <v>84.41935483870968</v>
      </c>
      <c r="AF247" s="117"/>
      <c r="AG247" s="117"/>
      <c r="AH247" s="117"/>
      <c r="AI247" s="117">
        <f t="shared" si="30"/>
        <v>168839.29032258064</v>
      </c>
      <c r="AJ247" s="211">
        <f t="shared" si="29"/>
        <v>167515</v>
      </c>
      <c r="AK247" s="104">
        <f t="shared" si="28"/>
        <v>-1619.6430107527121</v>
      </c>
    </row>
    <row r="248" spans="3:39" x14ac:dyDescent="0.2">
      <c r="C248" s="146">
        <f t="shared" si="22"/>
        <v>2014.0833253000119</v>
      </c>
      <c r="D248" s="107">
        <v>41640</v>
      </c>
      <c r="E248" s="139">
        <f>45562/31</f>
        <v>1469.741935483871</v>
      </c>
      <c r="F248" s="139">
        <f>12777/31</f>
        <v>412.16129032258067</v>
      </c>
      <c r="G248" s="139">
        <f>54943/31</f>
        <v>1772.3548387096773</v>
      </c>
      <c r="H248" s="139">
        <f>21086/31</f>
        <v>680.19354838709683</v>
      </c>
      <c r="I248" s="139">
        <f>4005/31</f>
        <v>129.19354838709677</v>
      </c>
      <c r="J248" s="264">
        <f>110291/31</f>
        <v>3557.7741935483873</v>
      </c>
      <c r="K248" s="265"/>
      <c r="L248" s="139">
        <f>6210/31</f>
        <v>200.32258064516128</v>
      </c>
      <c r="M248" s="139">
        <f>311536/31</f>
        <v>10049.548387096775</v>
      </c>
      <c r="N248" s="139"/>
      <c r="O248" s="139">
        <f>234971/31</f>
        <v>7579.7096774193551</v>
      </c>
      <c r="P248" s="139"/>
      <c r="Q248" s="139">
        <f>2356/31</f>
        <v>76</v>
      </c>
      <c r="R248" s="139">
        <f>942/31</f>
        <v>30.387096774193548</v>
      </c>
      <c r="S248" s="139">
        <f>+(319221+40146)/31</f>
        <v>11592.483870967742</v>
      </c>
      <c r="T248" s="139">
        <f>54442/31</f>
        <v>1756.1935483870968</v>
      </c>
      <c r="U248" s="139">
        <f>314944/31</f>
        <v>10159.483870967742</v>
      </c>
      <c r="V248" s="139"/>
      <c r="W248" s="139">
        <f>440745/31</f>
        <v>14217.58064516129</v>
      </c>
      <c r="X248" s="139">
        <f>1626039/31</f>
        <v>52452.870967741932</v>
      </c>
      <c r="Y248" s="139">
        <f>1133917/31</f>
        <v>36577.967741935485</v>
      </c>
      <c r="Z248" s="139"/>
      <c r="AA248" s="139">
        <v>226.41935483870967</v>
      </c>
      <c r="AB248" s="139">
        <v>86.935483870967744</v>
      </c>
      <c r="AC248" s="139">
        <f>67456/31</f>
        <v>2176</v>
      </c>
      <c r="AD248" s="139">
        <f>42864/31</f>
        <v>1382.7096774193549</v>
      </c>
      <c r="AE248" s="139">
        <v>70.354838709677423</v>
      </c>
      <c r="AF248" s="139"/>
      <c r="AG248" s="139"/>
      <c r="AH248" s="139"/>
      <c r="AI248" s="117">
        <f t="shared" si="30"/>
        <v>156656.38709677418</v>
      </c>
      <c r="AJ248" s="214">
        <f>63046641/365</f>
        <v>172730.52328767124</v>
      </c>
      <c r="AK248" s="104">
        <f t="shared" si="28"/>
        <v>-12182.903225806454</v>
      </c>
    </row>
    <row r="249" spans="3:39" x14ac:dyDescent="0.2">
      <c r="C249" s="146">
        <f t="shared" si="22"/>
        <v>2014.1666586000119</v>
      </c>
      <c r="D249" s="107">
        <v>41671</v>
      </c>
      <c r="E249" s="139">
        <f>37387/28</f>
        <v>1335.25</v>
      </c>
      <c r="F249" s="139">
        <f>11375/28</f>
        <v>406.25</v>
      </c>
      <c r="G249" s="139">
        <f>45704/28</f>
        <v>1632.2857142857142</v>
      </c>
      <c r="H249" s="139">
        <f>19188/28</f>
        <v>685.28571428571433</v>
      </c>
      <c r="I249" s="139">
        <f>3547/28</f>
        <v>126.67857142857143</v>
      </c>
      <c r="J249" s="264">
        <f>101369/28</f>
        <v>3620.3214285714284</v>
      </c>
      <c r="K249" s="265"/>
      <c r="L249" s="139">
        <f>5722/28</f>
        <v>204.35714285714286</v>
      </c>
      <c r="M249" s="139">
        <f>293739/28</f>
        <v>10490.678571428571</v>
      </c>
      <c r="N249" s="139"/>
      <c r="O249" s="139">
        <f>185497/28</f>
        <v>6624.8928571428569</v>
      </c>
      <c r="P249" s="139"/>
      <c r="Q249" s="139">
        <f>1952/28</f>
        <v>69.714285714285708</v>
      </c>
      <c r="R249" s="139">
        <f>831/28</f>
        <v>29.678571428571427</v>
      </c>
      <c r="S249" s="139">
        <f>+(270203+36010)/28</f>
        <v>10936.178571428571</v>
      </c>
      <c r="T249" s="139">
        <f>198440/28</f>
        <v>7087.1428571428569</v>
      </c>
      <c r="U249" s="139">
        <f>273846/28</f>
        <v>9780.2142857142862</v>
      </c>
      <c r="V249" s="139"/>
      <c r="W249" s="139">
        <f>406684/28</f>
        <v>14524.428571428571</v>
      </c>
      <c r="X249" s="139">
        <f>1733309/28</f>
        <v>61903.892857142855</v>
      </c>
      <c r="Y249" s="139">
        <f>1069667/28</f>
        <v>38202.392857142855</v>
      </c>
      <c r="Z249" s="139"/>
      <c r="AA249" s="139">
        <v>303.96428571428572</v>
      </c>
      <c r="AB249" s="139">
        <v>78.607142857142861</v>
      </c>
      <c r="AC249" s="139">
        <f>60777/28</f>
        <v>2170.6071428571427</v>
      </c>
      <c r="AD249" s="139">
        <f>94887/28</f>
        <v>3388.8214285714284</v>
      </c>
      <c r="AE249" s="139">
        <v>409.53571428571428</v>
      </c>
      <c r="AF249" s="139"/>
      <c r="AG249" s="139"/>
      <c r="AH249" s="139"/>
      <c r="AI249" s="117">
        <f t="shared" si="30"/>
        <v>174011.17857142852</v>
      </c>
      <c r="AJ249" s="211">
        <f>+AJ248</f>
        <v>172730.52328767124</v>
      </c>
      <c r="AK249" s="104">
        <f t="shared" si="28"/>
        <v>17354.791474654339</v>
      </c>
    </row>
    <row r="250" spans="3:39" x14ac:dyDescent="0.2">
      <c r="C250" s="146">
        <f t="shared" si="22"/>
        <v>2014.249991900012</v>
      </c>
      <c r="D250" s="107">
        <v>41699</v>
      </c>
      <c r="E250" s="139">
        <f>42926/31</f>
        <v>1384.7096774193549</v>
      </c>
      <c r="F250" s="139">
        <f>12468/31</f>
        <v>402.19354838709677</v>
      </c>
      <c r="G250" s="139">
        <f>49622/31</f>
        <v>1600.7096774193549</v>
      </c>
      <c r="H250" s="139">
        <v>668.54838709677415</v>
      </c>
      <c r="I250" s="139">
        <v>129.12903225806451</v>
      </c>
      <c r="J250" s="264">
        <f>112963/31</f>
        <v>3643.9677419354839</v>
      </c>
      <c r="K250" s="265"/>
      <c r="L250" s="139">
        <f>6237/31</f>
        <v>201.19354838709677</v>
      </c>
      <c r="M250" s="139">
        <f>333556/31</f>
        <v>10759.870967741936</v>
      </c>
      <c r="N250" s="139"/>
      <c r="O250" s="139">
        <f>219638/31</f>
        <v>7085.0967741935483</v>
      </c>
      <c r="P250" s="139"/>
      <c r="Q250" s="139">
        <f>2452/31</f>
        <v>79.096774193548384</v>
      </c>
      <c r="R250" s="139">
        <f>886/31</f>
        <v>28.580645161290324</v>
      </c>
      <c r="S250" s="139">
        <f>+(356319+41528)/31</f>
        <v>12833.774193548386</v>
      </c>
      <c r="T250" s="139">
        <f>161907/31</f>
        <v>5222.8064516129034</v>
      </c>
      <c r="U250" s="139">
        <f>331874/31</f>
        <v>10705.612903225807</v>
      </c>
      <c r="V250" s="139"/>
      <c r="W250" s="139">
        <f>434901/31</f>
        <v>14029.064516129032</v>
      </c>
      <c r="X250" s="139">
        <f>1935925/31</f>
        <v>62449.193548387098</v>
      </c>
      <c r="Y250" s="139">
        <f>1238318/31</f>
        <v>39945.741935483871</v>
      </c>
      <c r="Z250" s="139">
        <f>37922/31</f>
        <v>1223.2903225806451</v>
      </c>
      <c r="AA250" s="139">
        <v>297.87096774193549</v>
      </c>
      <c r="AB250" s="139">
        <v>79.967741935483872</v>
      </c>
      <c r="AC250" s="139">
        <f>74828/31</f>
        <v>2413.8064516129034</v>
      </c>
      <c r="AD250" s="139">
        <f>142463/31</f>
        <v>4595.5806451612907</v>
      </c>
      <c r="AE250" s="139">
        <f>33989/31</f>
        <v>1096.4193548387098</v>
      </c>
      <c r="AF250" s="139"/>
      <c r="AG250" s="139"/>
      <c r="AH250" s="139"/>
      <c r="AI250" s="117">
        <f t="shared" si="30"/>
        <v>180876.22580645164</v>
      </c>
      <c r="AJ250" s="211">
        <f>+AJ249</f>
        <v>172730.52328767124</v>
      </c>
      <c r="AK250" s="104">
        <f t="shared" si="28"/>
        <v>6865.0472350231139</v>
      </c>
    </row>
    <row r="251" spans="3:39" x14ac:dyDescent="0.2">
      <c r="C251" s="146">
        <f t="shared" si="22"/>
        <v>2014.333325200012</v>
      </c>
      <c r="D251" s="107">
        <v>41730</v>
      </c>
      <c r="E251" s="139">
        <f>47500/30</f>
        <v>1583.3333333333333</v>
      </c>
      <c r="F251" s="139">
        <f>12122/30</f>
        <v>404.06666666666666</v>
      </c>
      <c r="G251" s="140">
        <f>+(2321+41544)/30</f>
        <v>1462.1666666666667</v>
      </c>
      <c r="H251" s="139">
        <f>+(1968+16362)/30</f>
        <v>611</v>
      </c>
      <c r="I251" s="139">
        <f>3749/30</f>
        <v>124.96666666666667</v>
      </c>
      <c r="J251" s="264">
        <f>108338/30</f>
        <v>3611.2666666666669</v>
      </c>
      <c r="K251" s="265"/>
      <c r="L251" s="139">
        <f>5971/30</f>
        <v>199.03333333333333</v>
      </c>
      <c r="M251" s="139">
        <f>317351/30</f>
        <v>10578.366666666667</v>
      </c>
      <c r="N251" s="139"/>
      <c r="O251" s="139">
        <f>211912/30</f>
        <v>7063.7333333333336</v>
      </c>
      <c r="P251" s="139"/>
      <c r="Q251" s="139">
        <f>2127/30</f>
        <v>70.900000000000006</v>
      </c>
      <c r="R251" s="139">
        <f>761/30</f>
        <v>25.366666666666667</v>
      </c>
      <c r="S251" s="139">
        <f>+(339006+40081)/30</f>
        <v>12636.233333333334</v>
      </c>
      <c r="T251" s="139">
        <f>109151/30</f>
        <v>3638.3666666666668</v>
      </c>
      <c r="U251" s="139">
        <f>297202/30</f>
        <v>9906.7333333333336</v>
      </c>
      <c r="V251" s="139"/>
      <c r="W251" s="139">
        <f>336532/30</f>
        <v>11217.733333333334</v>
      </c>
      <c r="X251" s="139">
        <f>1764624/30</f>
        <v>58820.800000000003</v>
      </c>
      <c r="Y251" s="139">
        <f>1247820/30</f>
        <v>41594</v>
      </c>
      <c r="Z251" s="139">
        <f>195137/30</f>
        <v>6504.5666666666666</v>
      </c>
      <c r="AA251" s="139">
        <v>329.46666666666664</v>
      </c>
      <c r="AB251" s="139">
        <v>99.4</v>
      </c>
      <c r="AC251" s="139">
        <f>67477/30</f>
        <v>2249.2333333333331</v>
      </c>
      <c r="AD251" s="139">
        <f>153991/30</f>
        <v>5133.0333333333338</v>
      </c>
      <c r="AE251" s="139">
        <v>19.366666666666667</v>
      </c>
      <c r="AF251" s="139"/>
      <c r="AG251" s="139"/>
      <c r="AH251" s="139"/>
      <c r="AI251" s="117">
        <f t="shared" si="30"/>
        <v>177883.13333333336</v>
      </c>
      <c r="AJ251" s="211">
        <f>+AJ250</f>
        <v>172730.52328767124</v>
      </c>
      <c r="AK251" s="104">
        <f t="shared" si="28"/>
        <v>-2993.0924731182749</v>
      </c>
    </row>
    <row r="252" spans="3:39" x14ac:dyDescent="0.2">
      <c r="C252" s="146">
        <f t="shared" si="22"/>
        <v>2014.4166585000121</v>
      </c>
      <c r="D252" s="107">
        <v>41760</v>
      </c>
      <c r="E252" s="139">
        <f>43335/31</f>
        <v>1397.9032258064517</v>
      </c>
      <c r="F252" s="139">
        <f>12073/31</f>
        <v>389.45161290322579</v>
      </c>
      <c r="G252" s="139">
        <f>44466/31</f>
        <v>1434.3870967741937</v>
      </c>
      <c r="H252" s="139">
        <f>19050/31</f>
        <v>614.51612903225805</v>
      </c>
      <c r="I252" s="139">
        <f>3807/31</f>
        <v>122.80645161290323</v>
      </c>
      <c r="J252" s="264">
        <f>109035/31</f>
        <v>3517.2580645161293</v>
      </c>
      <c r="K252" s="265"/>
      <c r="L252" s="139">
        <f>6129/31</f>
        <v>197.70967741935485</v>
      </c>
      <c r="M252" s="139">
        <f>321043/31</f>
        <v>10356.225806451614</v>
      </c>
      <c r="N252" s="139"/>
      <c r="O252" s="139">
        <f>202755/31</f>
        <v>6540.4838709677415</v>
      </c>
      <c r="P252" s="139"/>
      <c r="Q252" s="139">
        <f>2083/31</f>
        <v>67.193548387096769</v>
      </c>
      <c r="R252" s="139">
        <f>725/31</f>
        <v>23.387096774193548</v>
      </c>
      <c r="S252" s="139">
        <f>+(337789+43167)/31</f>
        <v>12288.903225806451</v>
      </c>
      <c r="T252" s="139">
        <f>154337/31</f>
        <v>4978.6129032258068</v>
      </c>
      <c r="U252" s="139">
        <f>300212/31</f>
        <v>9684.2580645161288</v>
      </c>
      <c r="V252" s="139"/>
      <c r="W252" s="139">
        <f>418425/31</f>
        <v>13497.58064516129</v>
      </c>
      <c r="X252" s="139">
        <f>1770179/31</f>
        <v>57102.548387096773</v>
      </c>
      <c r="Y252" s="139">
        <f>1162245/31</f>
        <v>37491.774193548386</v>
      </c>
      <c r="Z252" s="139">
        <f>181328/31</f>
        <v>5849.2903225806449</v>
      </c>
      <c r="AA252" s="139">
        <v>256.29032258064518</v>
      </c>
      <c r="AB252" s="139">
        <v>107.25806451612904</v>
      </c>
      <c r="AC252" s="139">
        <f>72581/31</f>
        <v>2341.3225806451615</v>
      </c>
      <c r="AD252" s="139">
        <f>163900/31</f>
        <v>5287.0967741935483</v>
      </c>
      <c r="AE252" s="139"/>
      <c r="AF252" s="139"/>
      <c r="AG252" s="139"/>
      <c r="AH252" s="139"/>
      <c r="AI252" s="117">
        <f t="shared" si="30"/>
        <v>173546.25806451609</v>
      </c>
      <c r="AJ252" s="211">
        <f>+AJ251</f>
        <v>172730.52328767124</v>
      </c>
      <c r="AK252" s="104">
        <f t="shared" si="28"/>
        <v>-4336.8752688172681</v>
      </c>
    </row>
    <row r="253" spans="3:39" x14ac:dyDescent="0.2">
      <c r="C253" s="146">
        <f t="shared" si="22"/>
        <v>2014.4999918000121</v>
      </c>
      <c r="D253" s="107">
        <v>41791</v>
      </c>
      <c r="E253" s="139">
        <v>1557</v>
      </c>
      <c r="F253" s="139">
        <v>400</v>
      </c>
      <c r="G253" s="139">
        <v>1433</v>
      </c>
      <c r="H253" s="139">
        <v>617</v>
      </c>
      <c r="I253" s="139">
        <v>134</v>
      </c>
      <c r="J253" s="264">
        <v>3547</v>
      </c>
      <c r="K253" s="265"/>
      <c r="L253" s="139">
        <v>199</v>
      </c>
      <c r="M253" s="139">
        <v>10330</v>
      </c>
      <c r="N253" s="139"/>
      <c r="O253" s="139">
        <v>6810</v>
      </c>
      <c r="P253" s="139"/>
      <c r="Q253" s="139">
        <v>70</v>
      </c>
      <c r="R253" s="139">
        <v>22</v>
      </c>
      <c r="S253" s="139">
        <v>12130</v>
      </c>
      <c r="T253" s="139">
        <v>6934</v>
      </c>
      <c r="U253" s="139">
        <v>9369</v>
      </c>
      <c r="V253" s="139"/>
      <c r="W253" s="139">
        <v>13794</v>
      </c>
      <c r="X253" s="139">
        <v>60381</v>
      </c>
      <c r="Y253" s="139">
        <v>28862</v>
      </c>
      <c r="Z253" s="139">
        <v>3855</v>
      </c>
      <c r="AA253" s="139">
        <v>283</v>
      </c>
      <c r="AB253" s="139">
        <v>74</v>
      </c>
      <c r="AC253" s="139">
        <v>2304</v>
      </c>
      <c r="AD253" s="139">
        <v>5745</v>
      </c>
      <c r="AE253" s="139"/>
      <c r="AF253" s="139"/>
      <c r="AG253" s="139"/>
      <c r="AH253" s="139"/>
      <c r="AI253" s="117">
        <f t="shared" ref="AI253:AI266" si="31">SUM(E253:AH253)</f>
        <v>168850</v>
      </c>
      <c r="AJ253" s="211">
        <f>+AJ252</f>
        <v>172730.52328767124</v>
      </c>
      <c r="AK253" s="104">
        <f t="shared" si="28"/>
        <v>-4696.2580645160924</v>
      </c>
    </row>
    <row r="254" spans="3:39" x14ac:dyDescent="0.2">
      <c r="C254" s="146">
        <f t="shared" si="22"/>
        <v>2014.5833251000122</v>
      </c>
      <c r="D254" s="107">
        <v>41821</v>
      </c>
      <c r="E254" s="139">
        <v>1617.6774193548388</v>
      </c>
      <c r="F254" s="139">
        <v>382.61290322580646</v>
      </c>
      <c r="G254" s="139">
        <v>1498.5483870967741</v>
      </c>
      <c r="H254" s="139">
        <v>720.45161290322585</v>
      </c>
      <c r="I254" s="139">
        <v>129.64516129032259</v>
      </c>
      <c r="J254" s="264">
        <v>3668.6129032258063</v>
      </c>
      <c r="K254" s="265">
        <v>0</v>
      </c>
      <c r="L254" s="139">
        <v>192.09677419354838</v>
      </c>
      <c r="M254" s="139">
        <v>10265.258064516129</v>
      </c>
      <c r="N254" s="139"/>
      <c r="O254" s="139">
        <v>6113.677419354839</v>
      </c>
      <c r="P254" s="139"/>
      <c r="Q254" s="139">
        <v>69.451612903225808</v>
      </c>
      <c r="R254" s="139">
        <v>22.322580645161292</v>
      </c>
      <c r="S254" s="139">
        <v>12034.58064516129</v>
      </c>
      <c r="T254" s="139">
        <v>4460.0967741935483</v>
      </c>
      <c r="U254" s="139">
        <v>8279.5161290322576</v>
      </c>
      <c r="V254" s="139"/>
      <c r="W254" s="139">
        <v>13959.032258064517</v>
      </c>
      <c r="X254" s="139">
        <v>59400.193548387098</v>
      </c>
      <c r="Y254" s="139">
        <v>34352.870967741932</v>
      </c>
      <c r="Z254" s="139">
        <v>8225.7419354838712</v>
      </c>
      <c r="AA254" s="139">
        <v>389.22580645161293</v>
      </c>
      <c r="AB254" s="139">
        <v>90.677419354838705</v>
      </c>
      <c r="AC254" s="139">
        <v>2305.483870967742</v>
      </c>
      <c r="AD254" s="139">
        <v>5685</v>
      </c>
      <c r="AE254" s="139"/>
      <c r="AF254" s="139"/>
      <c r="AG254" s="139"/>
      <c r="AH254" s="139"/>
      <c r="AI254" s="117">
        <f t="shared" si="31"/>
        <v>173862.77419354839</v>
      </c>
      <c r="AJ254" s="211">
        <f t="shared" ref="AJ254:AJ259" si="32">+AJ253</f>
        <v>172730.52328767124</v>
      </c>
      <c r="AK254" s="104">
        <f t="shared" si="28"/>
        <v>5012.7741935483937</v>
      </c>
    </row>
    <row r="255" spans="3:39" x14ac:dyDescent="0.2">
      <c r="C255" s="146">
        <f t="shared" si="22"/>
        <v>2014.6666584000122</v>
      </c>
      <c r="D255" s="107">
        <v>41852</v>
      </c>
      <c r="E255" s="139">
        <v>2009.0967741935483</v>
      </c>
      <c r="F255" s="139">
        <v>380.67741935483872</v>
      </c>
      <c r="G255" s="139">
        <v>1568.1290322580646</v>
      </c>
      <c r="H255" s="139">
        <v>685.0322580645161</v>
      </c>
      <c r="I255" s="139">
        <v>127.03225806451613</v>
      </c>
      <c r="J255" s="264">
        <v>3622.1612903225805</v>
      </c>
      <c r="K255" s="265"/>
      <c r="L255" s="139">
        <v>194.06451612903226</v>
      </c>
      <c r="M255" s="139">
        <v>10229.387096774193</v>
      </c>
      <c r="N255" s="139"/>
      <c r="O255" s="139">
        <v>5431.1612903225805</v>
      </c>
      <c r="P255" s="139"/>
      <c r="Q255" s="139">
        <v>66.645161290322577</v>
      </c>
      <c r="R255" s="139">
        <v>21.774193548387096</v>
      </c>
      <c r="S255" s="139">
        <v>11472.870967741936</v>
      </c>
      <c r="T255" s="139">
        <v>4686.9354838709678</v>
      </c>
      <c r="U255" s="139">
        <v>10511.322580645161</v>
      </c>
      <c r="V255" s="139"/>
      <c r="W255" s="139">
        <v>12384.225806451614</v>
      </c>
      <c r="X255" s="139">
        <v>55158</v>
      </c>
      <c r="Y255" s="139">
        <v>34475.967741935485</v>
      </c>
      <c r="Z255" s="139">
        <v>2688</v>
      </c>
      <c r="AA255" s="139">
        <v>221.83870967741936</v>
      </c>
      <c r="AB255" s="139">
        <v>66</v>
      </c>
      <c r="AC255" s="139">
        <v>2214.0645161290322</v>
      </c>
      <c r="AD255" s="139">
        <v>6099.2258064516127</v>
      </c>
      <c r="AE255" s="139"/>
      <c r="AF255" s="139"/>
      <c r="AG255" s="139"/>
      <c r="AH255" s="139"/>
      <c r="AI255" s="117">
        <f t="shared" si="31"/>
        <v>164313.61290322582</v>
      </c>
      <c r="AJ255" s="211">
        <f t="shared" si="32"/>
        <v>172730.52328767124</v>
      </c>
      <c r="AK255" s="104">
        <f t="shared" si="28"/>
        <v>-9549.161290322576</v>
      </c>
    </row>
    <row r="256" spans="3:39" x14ac:dyDescent="0.2">
      <c r="C256" s="146">
        <f t="shared" si="22"/>
        <v>2014.7499917000123</v>
      </c>
      <c r="D256" s="107">
        <v>41883</v>
      </c>
      <c r="E256" s="139">
        <v>1817</v>
      </c>
      <c r="F256" s="139">
        <v>376</v>
      </c>
      <c r="G256" s="139">
        <v>1568</v>
      </c>
      <c r="H256" s="139">
        <v>699</v>
      </c>
      <c r="I256" s="139">
        <v>148</v>
      </c>
      <c r="J256" s="264">
        <v>3566</v>
      </c>
      <c r="K256" s="265"/>
      <c r="L256" s="139">
        <v>193</v>
      </c>
      <c r="M256" s="139">
        <v>10525</v>
      </c>
      <c r="N256" s="139"/>
      <c r="O256" s="139">
        <v>5937</v>
      </c>
      <c r="P256" s="139"/>
      <c r="Q256" s="139">
        <v>63</v>
      </c>
      <c r="R256" s="139">
        <v>22</v>
      </c>
      <c r="S256" s="139">
        <f>11070+1293</f>
        <v>12363</v>
      </c>
      <c r="T256" s="139">
        <v>4572</v>
      </c>
      <c r="U256" s="139">
        <v>9542</v>
      </c>
      <c r="V256" s="139"/>
      <c r="W256" s="139">
        <v>13345</v>
      </c>
      <c r="X256" s="139">
        <v>58900</v>
      </c>
      <c r="Y256" s="139">
        <v>34424</v>
      </c>
      <c r="Z256" s="139">
        <v>4499</v>
      </c>
      <c r="AA256" s="139">
        <v>281</v>
      </c>
      <c r="AB256" s="139">
        <v>68</v>
      </c>
      <c r="AC256" s="139">
        <v>2246</v>
      </c>
      <c r="AD256" s="139">
        <v>5361</v>
      </c>
      <c r="AE256" s="139">
        <v>436</v>
      </c>
      <c r="AF256" s="139"/>
      <c r="AG256" s="139"/>
      <c r="AH256" s="139"/>
      <c r="AI256" s="117">
        <f t="shared" si="31"/>
        <v>170951</v>
      </c>
      <c r="AJ256" s="211">
        <f t="shared" si="32"/>
        <v>172730.52328767124</v>
      </c>
      <c r="AK256" s="104">
        <f t="shared" si="28"/>
        <v>6637.3870967741823</v>
      </c>
    </row>
    <row r="257" spans="3:37" x14ac:dyDescent="0.2">
      <c r="C257" s="146">
        <f t="shared" si="22"/>
        <v>2014.8333250000123</v>
      </c>
      <c r="D257" s="107">
        <v>41913</v>
      </c>
      <c r="E257" s="139">
        <v>1873</v>
      </c>
      <c r="F257" s="139">
        <v>373</v>
      </c>
      <c r="G257" s="139">
        <v>1610</v>
      </c>
      <c r="H257" s="139">
        <v>700</v>
      </c>
      <c r="I257" s="139">
        <v>139</v>
      </c>
      <c r="J257" s="264">
        <v>3564</v>
      </c>
      <c r="K257" s="265"/>
      <c r="L257" s="139">
        <v>191</v>
      </c>
      <c r="M257" s="139">
        <v>10451</v>
      </c>
      <c r="N257" s="139"/>
      <c r="O257" s="139">
        <v>6025</v>
      </c>
      <c r="P257" s="139"/>
      <c r="Q257" s="139">
        <v>61</v>
      </c>
      <c r="R257" s="139">
        <v>26</v>
      </c>
      <c r="S257" s="139">
        <f>10513+1009</f>
        <v>11522</v>
      </c>
      <c r="T257" s="139">
        <v>6206</v>
      </c>
      <c r="U257" s="139">
        <v>9216</v>
      </c>
      <c r="V257" s="139"/>
      <c r="W257" s="139">
        <v>12242</v>
      </c>
      <c r="X257" s="139">
        <v>58047</v>
      </c>
      <c r="Y257" s="139">
        <v>41123</v>
      </c>
      <c r="Z257" s="139">
        <v>6680</v>
      </c>
      <c r="AA257" s="139">
        <v>244</v>
      </c>
      <c r="AB257" s="139">
        <v>110</v>
      </c>
      <c r="AC257" s="139">
        <v>1920</v>
      </c>
      <c r="AD257" s="139">
        <v>5887</v>
      </c>
      <c r="AE257" s="139">
        <v>2096</v>
      </c>
      <c r="AF257" s="139"/>
      <c r="AG257" s="139"/>
      <c r="AH257" s="139"/>
      <c r="AI257" s="117">
        <f t="shared" si="31"/>
        <v>180306</v>
      </c>
      <c r="AJ257" s="211">
        <f t="shared" si="32"/>
        <v>172730.52328767124</v>
      </c>
      <c r="AK257" s="104">
        <f t="shared" si="28"/>
        <v>9355</v>
      </c>
    </row>
    <row r="258" spans="3:37" x14ac:dyDescent="0.2">
      <c r="C258" s="146">
        <f t="shared" si="22"/>
        <v>2014.9166583000124</v>
      </c>
      <c r="D258" s="107">
        <v>41944</v>
      </c>
      <c r="E258" s="139">
        <v>1722</v>
      </c>
      <c r="F258" s="139">
        <v>385.9</v>
      </c>
      <c r="G258" s="139">
        <v>1580.0333333333333</v>
      </c>
      <c r="H258" s="139">
        <v>684.83333333333337</v>
      </c>
      <c r="I258" s="139">
        <v>136.16666666666666</v>
      </c>
      <c r="J258" s="264">
        <v>3483.9666666666667</v>
      </c>
      <c r="K258" s="265"/>
      <c r="L258" s="139">
        <v>192.33333333333334</v>
      </c>
      <c r="M258" s="139">
        <v>10387.033333333333</v>
      </c>
      <c r="N258" s="139"/>
      <c r="O258" s="139">
        <v>5509.4</v>
      </c>
      <c r="P258" s="139"/>
      <c r="Q258" s="139">
        <v>56.766666666666666</v>
      </c>
      <c r="R258" s="139">
        <v>23.866666666666667</v>
      </c>
      <c r="S258" s="139">
        <v>12127.333333333334</v>
      </c>
      <c r="T258" s="139">
        <v>5451.7666666666664</v>
      </c>
      <c r="U258" s="139">
        <v>9420.4</v>
      </c>
      <c r="V258" s="139"/>
      <c r="W258" s="139">
        <v>10942.966666666667</v>
      </c>
      <c r="X258" s="139">
        <v>56420.033333333333</v>
      </c>
      <c r="Y258" s="139">
        <v>41538.199999999997</v>
      </c>
      <c r="Z258" s="139">
        <v>6628.0666666666666</v>
      </c>
      <c r="AA258" s="139">
        <v>381.6</v>
      </c>
      <c r="AB258" s="139">
        <v>39.266666666666666</v>
      </c>
      <c r="AC258" s="139">
        <v>1941.4</v>
      </c>
      <c r="AD258" s="139">
        <v>6399.9666666666662</v>
      </c>
      <c r="AE258" s="139">
        <v>2199.5666666666666</v>
      </c>
      <c r="AF258" s="139"/>
      <c r="AG258" s="139"/>
      <c r="AH258" s="139"/>
      <c r="AI258" s="117">
        <f t="shared" si="31"/>
        <v>177652.8666666667</v>
      </c>
      <c r="AJ258" s="211">
        <f t="shared" si="32"/>
        <v>172730.52328767124</v>
      </c>
      <c r="AK258" s="104">
        <f t="shared" si="28"/>
        <v>-2653.1333333333023</v>
      </c>
    </row>
    <row r="259" spans="3:37" ht="14.25" customHeight="1" x14ac:dyDescent="0.2">
      <c r="C259" s="146">
        <f t="shared" si="22"/>
        <v>2014.9999916000124</v>
      </c>
      <c r="D259" s="137">
        <v>41974</v>
      </c>
      <c r="E259" s="141">
        <v>1689.9032258064517</v>
      </c>
      <c r="F259" s="141">
        <v>369.54838709677421</v>
      </c>
      <c r="G259" s="141">
        <v>1558.6451612903227</v>
      </c>
      <c r="H259" s="141">
        <v>672.67741935483866</v>
      </c>
      <c r="I259" s="141">
        <v>142.96774193548387</v>
      </c>
      <c r="J259" s="266">
        <v>3553.4516129032259</v>
      </c>
      <c r="K259" s="267"/>
      <c r="L259" s="141">
        <v>192.48387096774192</v>
      </c>
      <c r="M259" s="141">
        <v>10229.516129032258</v>
      </c>
      <c r="N259" s="141"/>
      <c r="O259" s="141">
        <v>5328.3548387096771</v>
      </c>
      <c r="P259" s="141"/>
      <c r="Q259" s="141">
        <v>58.161290322580648</v>
      </c>
      <c r="R259" s="141">
        <v>21.483870967741936</v>
      </c>
      <c r="S259" s="141">
        <v>11744.41935483871</v>
      </c>
      <c r="T259" s="141">
        <v>4775.5161290322585</v>
      </c>
      <c r="U259" s="141">
        <v>8156.677419354839</v>
      </c>
      <c r="V259" s="141"/>
      <c r="W259" s="141">
        <v>11581.322580645161</v>
      </c>
      <c r="X259" s="141">
        <v>56201.677419354841</v>
      </c>
      <c r="Y259" s="141">
        <v>41640.709677419356</v>
      </c>
      <c r="Z259" s="141">
        <v>6473.7419354838712</v>
      </c>
      <c r="AA259" s="141">
        <v>327.87096774193549</v>
      </c>
      <c r="AB259" s="141">
        <v>103.87096774193549</v>
      </c>
      <c r="AC259" s="141">
        <v>1512.2903225806451</v>
      </c>
      <c r="AD259" s="141">
        <v>5657.5483870967746</v>
      </c>
      <c r="AE259" s="141">
        <v>2131.3548387096776</v>
      </c>
      <c r="AF259" s="141"/>
      <c r="AG259" s="141"/>
      <c r="AH259" s="141"/>
      <c r="AI259" s="117">
        <f t="shared" si="31"/>
        <v>174124.19354838712</v>
      </c>
      <c r="AJ259" s="211">
        <f t="shared" si="32"/>
        <v>172730.52328767124</v>
      </c>
      <c r="AK259" s="104">
        <f t="shared" si="28"/>
        <v>-3528.6731182795775</v>
      </c>
    </row>
    <row r="260" spans="3:37" x14ac:dyDescent="0.2">
      <c r="C260" s="146">
        <f t="shared" si="22"/>
        <v>2015.0833249000125</v>
      </c>
      <c r="D260" s="138">
        <v>42005</v>
      </c>
      <c r="E260" s="142">
        <v>1494.4516129032259</v>
      </c>
      <c r="F260" s="142">
        <v>355.83870967741933</v>
      </c>
      <c r="G260" s="142">
        <v>1485.9677419354839</v>
      </c>
      <c r="H260" s="142">
        <v>657.54838709677415</v>
      </c>
      <c r="I260" s="142">
        <v>167.87096774193549</v>
      </c>
      <c r="J260" s="268">
        <v>3458.1612903225805</v>
      </c>
      <c r="K260" s="269"/>
      <c r="L260" s="142">
        <v>192.93548387096774</v>
      </c>
      <c r="M260" s="142">
        <v>10268.774193548386</v>
      </c>
      <c r="N260" s="142"/>
      <c r="O260" s="142">
        <v>4834.4193548387093</v>
      </c>
      <c r="P260" s="142"/>
      <c r="Q260" s="142">
        <v>54.741935483870968</v>
      </c>
      <c r="R260" s="142">
        <v>19.322580645161292</v>
      </c>
      <c r="S260" s="142">
        <v>11570.677419354839</v>
      </c>
      <c r="T260" s="142">
        <v>3871.6451612903224</v>
      </c>
      <c r="U260" s="142">
        <v>8408.5806451612898</v>
      </c>
      <c r="V260" s="142"/>
      <c r="W260" s="142">
        <v>11228.064516129032</v>
      </c>
      <c r="X260" s="142">
        <v>53014.612903225803</v>
      </c>
      <c r="Y260" s="142">
        <v>40950.483870967742</v>
      </c>
      <c r="Z260" s="142">
        <v>6223.9354838709678</v>
      </c>
      <c r="AA260" s="142">
        <v>278.29032258064518</v>
      </c>
      <c r="AB260" s="142">
        <v>61.903225806451616</v>
      </c>
      <c r="AC260" s="142">
        <v>1984.8709677419354</v>
      </c>
      <c r="AD260" s="142">
        <v>4522.0645161290322</v>
      </c>
      <c r="AE260" s="142">
        <v>683.38709677419354</v>
      </c>
      <c r="AF260" s="142"/>
      <c r="AG260" s="142"/>
      <c r="AH260" s="142"/>
      <c r="AI260" s="117">
        <f t="shared" si="31"/>
        <v>165788.54838709676</v>
      </c>
      <c r="AJ260" s="211">
        <v>149405</v>
      </c>
      <c r="AK260" s="104">
        <f t="shared" si="28"/>
        <v>-8335.645161290362</v>
      </c>
    </row>
    <row r="261" spans="3:37" x14ac:dyDescent="0.2">
      <c r="C261" s="146">
        <f t="shared" si="22"/>
        <v>2015.1666582000125</v>
      </c>
      <c r="D261" s="138">
        <v>42036</v>
      </c>
      <c r="E261" s="142">
        <v>1457.4285714285713</v>
      </c>
      <c r="F261" s="142">
        <v>375.17857142857144</v>
      </c>
      <c r="G261" s="142">
        <v>1445.7857142857142</v>
      </c>
      <c r="H261" s="142">
        <v>634</v>
      </c>
      <c r="I261" s="142">
        <v>163.96428571428572</v>
      </c>
      <c r="J261" s="268">
        <v>3550.9285714285716</v>
      </c>
      <c r="K261" s="269"/>
      <c r="L261" s="142">
        <v>193.14285714285714</v>
      </c>
      <c r="M261" s="142">
        <v>10297.214285714286</v>
      </c>
      <c r="N261" s="142"/>
      <c r="O261" s="142">
        <v>4797.5357142857147</v>
      </c>
      <c r="P261" s="142"/>
      <c r="Q261" s="142">
        <v>50.285714285714285</v>
      </c>
      <c r="R261" s="142">
        <v>21.25</v>
      </c>
      <c r="S261" s="142">
        <v>10968.75</v>
      </c>
      <c r="T261" s="142">
        <v>3147.5</v>
      </c>
      <c r="U261" s="142">
        <v>6282.3928571428569</v>
      </c>
      <c r="V261" s="142"/>
      <c r="W261" s="142">
        <v>8073.6428571428569</v>
      </c>
      <c r="X261" s="142">
        <v>55785.035714285717</v>
      </c>
      <c r="Y261" s="142">
        <v>39109</v>
      </c>
      <c r="Z261" s="142">
        <v>5564.4642857142853</v>
      </c>
      <c r="AA261" s="142">
        <v>318.25</v>
      </c>
      <c r="AB261" s="142">
        <v>62.642857142857146</v>
      </c>
      <c r="AC261" s="142">
        <v>1782.9642857142858</v>
      </c>
      <c r="AD261" s="142">
        <v>2910.2142857142858</v>
      </c>
      <c r="AE261" s="142">
        <v>2210.5357142857142</v>
      </c>
      <c r="AF261" s="142"/>
      <c r="AG261" s="142"/>
      <c r="AH261" s="142"/>
      <c r="AI261" s="117">
        <f t="shared" si="31"/>
        <v>159202.10714285716</v>
      </c>
      <c r="AJ261" s="211">
        <f>+AJ260</f>
        <v>149405</v>
      </c>
      <c r="AK261" s="104">
        <f t="shared" si="28"/>
        <v>-6586.4412442395987</v>
      </c>
    </row>
    <row r="262" spans="3:37" x14ac:dyDescent="0.2">
      <c r="C262" s="146">
        <f t="shared" si="22"/>
        <v>2015.2499915000126</v>
      </c>
      <c r="D262" s="138">
        <v>42064</v>
      </c>
      <c r="E262" s="142">
        <v>1393.0322580645161</v>
      </c>
      <c r="F262" s="142">
        <v>356.87096774193549</v>
      </c>
      <c r="G262" s="142">
        <v>1333.3870967741937</v>
      </c>
      <c r="H262" s="142">
        <v>590.35483870967744</v>
      </c>
      <c r="I262" s="142">
        <v>173.03225806451613</v>
      </c>
      <c r="J262" s="268">
        <v>3401.6451612903224</v>
      </c>
      <c r="K262" s="269"/>
      <c r="L262" s="142">
        <v>190.16129032258064</v>
      </c>
      <c r="M262" s="142">
        <v>10335.838709677419</v>
      </c>
      <c r="N262" s="142"/>
      <c r="O262" s="142">
        <v>4209.6129032258068</v>
      </c>
      <c r="P262" s="142"/>
      <c r="Q262" s="142">
        <v>54.935483870967744</v>
      </c>
      <c r="R262" s="142">
        <v>12.612903225806452</v>
      </c>
      <c r="S262" s="142">
        <v>11299.193548387097</v>
      </c>
      <c r="T262" s="142">
        <v>7395.322580645161</v>
      </c>
      <c r="U262" s="142">
        <v>8728.1612903225814</v>
      </c>
      <c r="V262" s="142"/>
      <c r="W262" s="142">
        <v>10221.709677419354</v>
      </c>
      <c r="X262" s="142">
        <v>55341.967741935485</v>
      </c>
      <c r="Y262" s="142">
        <v>35016.225806451614</v>
      </c>
      <c r="Z262" s="142">
        <v>5793.9677419354839</v>
      </c>
      <c r="AA262" s="142">
        <v>292.90322580645159</v>
      </c>
      <c r="AB262" s="142">
        <v>93.354838709677423</v>
      </c>
      <c r="AC262" s="142">
        <v>2016.8709677419354</v>
      </c>
      <c r="AD262" s="142">
        <v>757.64516129032256</v>
      </c>
      <c r="AE262" s="142">
        <v>2133.3225806451615</v>
      </c>
      <c r="AF262" s="142"/>
      <c r="AG262" s="142"/>
      <c r="AH262" s="142"/>
      <c r="AI262" s="117">
        <f t="shared" si="31"/>
        <v>161142.12903225806</v>
      </c>
      <c r="AJ262" s="211">
        <f t="shared" ref="AJ262:AJ271" si="33">+AJ261</f>
        <v>149405</v>
      </c>
      <c r="AK262" s="104">
        <f t="shared" ref="AK262:AK268" si="34">+AI262-AI261</f>
        <v>1940.0218894009013</v>
      </c>
    </row>
    <row r="263" spans="3:37" x14ac:dyDescent="0.2">
      <c r="C263" s="146">
        <f t="shared" si="22"/>
        <v>2015.3333248000126</v>
      </c>
      <c r="D263" s="138">
        <v>42095</v>
      </c>
      <c r="E263" s="142">
        <v>1386.4333333333334</v>
      </c>
      <c r="F263" s="142">
        <v>358.8</v>
      </c>
      <c r="G263" s="142">
        <v>991.06666666666672</v>
      </c>
      <c r="H263" s="142">
        <v>335.13333333333333</v>
      </c>
      <c r="I263" s="142">
        <v>167.53333333333333</v>
      </c>
      <c r="J263" s="268">
        <v>3415.6666666666665</v>
      </c>
      <c r="K263" s="269"/>
      <c r="L263" s="142">
        <v>192.06666666666666</v>
      </c>
      <c r="M263" s="142">
        <v>10520.9</v>
      </c>
      <c r="N263" s="142"/>
      <c r="O263" s="142">
        <v>3862</v>
      </c>
      <c r="P263" s="142"/>
      <c r="Q263" s="142">
        <v>53.2</v>
      </c>
      <c r="R263" s="142">
        <v>26.3</v>
      </c>
      <c r="S263" s="142">
        <v>11492.7</v>
      </c>
      <c r="T263" s="142">
        <v>3599.6333333333332</v>
      </c>
      <c r="U263" s="142">
        <v>8839</v>
      </c>
      <c r="V263" s="142"/>
      <c r="W263" s="142">
        <v>10141.700000000001</v>
      </c>
      <c r="X263" s="142">
        <v>43388.2</v>
      </c>
      <c r="Y263" s="142">
        <v>33255.166666666664</v>
      </c>
      <c r="Z263" s="142">
        <v>4188.666666666667</v>
      </c>
      <c r="AA263" s="142">
        <v>209.7</v>
      </c>
      <c r="AB263" s="142">
        <v>60.7</v>
      </c>
      <c r="AC263" s="142">
        <v>2183.4333333333334</v>
      </c>
      <c r="AD263" s="142">
        <v>725.5333333333333</v>
      </c>
      <c r="AE263" s="142">
        <v>3216.7333333333331</v>
      </c>
      <c r="AF263" s="142"/>
      <c r="AG263" s="142"/>
      <c r="AH263" s="142"/>
      <c r="AI263" s="117">
        <f t="shared" si="31"/>
        <v>142610.26666666666</v>
      </c>
      <c r="AJ263" s="211">
        <f t="shared" si="33"/>
        <v>149405</v>
      </c>
      <c r="AK263" s="104">
        <f t="shared" si="34"/>
        <v>-18531.862365591398</v>
      </c>
    </row>
    <row r="264" spans="3:37" x14ac:dyDescent="0.2">
      <c r="C264" s="146">
        <f t="shared" si="22"/>
        <v>2015.4166581000127</v>
      </c>
      <c r="D264" s="138">
        <v>42125</v>
      </c>
      <c r="E264" s="142">
        <v>1351.2258064516129</v>
      </c>
      <c r="F264" s="142">
        <v>380.64516129032256</v>
      </c>
      <c r="G264" s="142">
        <v>1346</v>
      </c>
      <c r="H264" s="142">
        <v>931.77419354838707</v>
      </c>
      <c r="I264" s="142">
        <v>195.19354838709677</v>
      </c>
      <c r="J264" s="268">
        <v>3440.9677419354839</v>
      </c>
      <c r="K264" s="269"/>
      <c r="L264" s="142">
        <v>191.93548387096774</v>
      </c>
      <c r="M264" s="142">
        <v>10469.225806451614</v>
      </c>
      <c r="N264" s="142"/>
      <c r="O264" s="142">
        <v>4007.1612903225805</v>
      </c>
      <c r="P264" s="142"/>
      <c r="Q264" s="142">
        <v>57.322580645161288</v>
      </c>
      <c r="R264" s="142">
        <v>19.129032258064516</v>
      </c>
      <c r="S264" s="142">
        <v>10967.032258064517</v>
      </c>
      <c r="T264" s="142">
        <v>4112.4193548387093</v>
      </c>
      <c r="U264" s="142">
        <v>8068.9032258064517</v>
      </c>
      <c r="V264" s="142"/>
      <c r="W264" s="142">
        <v>10294.451612903225</v>
      </c>
      <c r="X264" s="142">
        <v>41456.354838709674</v>
      </c>
      <c r="Y264" s="142">
        <v>22482.903225806451</v>
      </c>
      <c r="Z264" s="142">
        <v>3724.6129032258063</v>
      </c>
      <c r="AA264" s="142">
        <v>317.64516129032256</v>
      </c>
      <c r="AB264" s="142">
        <v>68.322580645161295</v>
      </c>
      <c r="AC264" s="142">
        <v>2222.0967741935483</v>
      </c>
      <c r="AD264" s="142">
        <v>753.9677419354839</v>
      </c>
      <c r="AE264" s="142">
        <v>3375.1935483870966</v>
      </c>
      <c r="AF264" s="142"/>
      <c r="AG264" s="142"/>
      <c r="AH264" s="142"/>
      <c r="AI264" s="117">
        <f t="shared" si="31"/>
        <v>130234.48387096774</v>
      </c>
      <c r="AJ264" s="211">
        <f t="shared" si="33"/>
        <v>149405</v>
      </c>
      <c r="AK264" s="104">
        <f t="shared" si="34"/>
        <v>-12375.78279569892</v>
      </c>
    </row>
    <row r="265" spans="3:37" x14ac:dyDescent="0.2">
      <c r="C265" s="146">
        <f t="shared" si="22"/>
        <v>2015.4999914000127</v>
      </c>
      <c r="D265" s="138">
        <v>42156</v>
      </c>
      <c r="E265" s="142">
        <v>1377.7333333333333</v>
      </c>
      <c r="F265" s="142">
        <v>341.1</v>
      </c>
      <c r="G265" s="142">
        <v>1273</v>
      </c>
      <c r="H265" s="142">
        <v>645</v>
      </c>
      <c r="I265" s="142">
        <v>173.5</v>
      </c>
      <c r="J265" s="268">
        <v>3394.3</v>
      </c>
      <c r="K265" s="269"/>
      <c r="L265" s="142">
        <v>95.13333333333334</v>
      </c>
      <c r="M265" s="142">
        <v>10416.5</v>
      </c>
      <c r="N265" s="142"/>
      <c r="O265" s="142">
        <v>4046.8333333333335</v>
      </c>
      <c r="P265" s="142"/>
      <c r="Q265" s="142">
        <v>80.333333333333329</v>
      </c>
      <c r="R265" s="142">
        <v>19.733333333333334</v>
      </c>
      <c r="S265" s="142">
        <v>11380.266666666666</v>
      </c>
      <c r="T265" s="142">
        <v>0</v>
      </c>
      <c r="U265" s="142">
        <v>7988.0333333333338</v>
      </c>
      <c r="V265" s="142"/>
      <c r="W265" s="142">
        <v>9948</v>
      </c>
      <c r="X265" s="142">
        <v>52601.5</v>
      </c>
      <c r="Y265" s="142">
        <v>37407.633333333331</v>
      </c>
      <c r="Z265" s="142">
        <v>5834.0333333333338</v>
      </c>
      <c r="AA265" s="142">
        <v>185.73333333333332</v>
      </c>
      <c r="AB265" s="142">
        <v>53.966666666666669</v>
      </c>
      <c r="AC265" s="142">
        <v>1819.3666666666666</v>
      </c>
      <c r="AD265" s="142">
        <v>956.36666666666667</v>
      </c>
      <c r="AE265" s="142">
        <v>4015.8</v>
      </c>
      <c r="AF265" s="142"/>
      <c r="AG265" s="142"/>
      <c r="AH265" s="142"/>
      <c r="AI265" s="117">
        <f t="shared" si="31"/>
        <v>154053.86666666667</v>
      </c>
      <c r="AJ265" s="211">
        <f t="shared" si="33"/>
        <v>149405</v>
      </c>
      <c r="AK265" s="104">
        <f t="shared" si="34"/>
        <v>23819.382795698926</v>
      </c>
    </row>
    <row r="266" spans="3:37" x14ac:dyDescent="0.2">
      <c r="C266" s="146">
        <f t="shared" si="22"/>
        <v>2015.5833247000128</v>
      </c>
      <c r="D266" s="138">
        <v>42186</v>
      </c>
      <c r="E266" s="142">
        <v>1415.7741935483871</v>
      </c>
      <c r="F266" s="142">
        <v>348.09677419354841</v>
      </c>
      <c r="G266" s="142">
        <v>1222.2903225806451</v>
      </c>
      <c r="H266" s="142">
        <v>628.0322580645161</v>
      </c>
      <c r="I266" s="142">
        <v>163.38709677419354</v>
      </c>
      <c r="J266" s="268">
        <v>3407.0645161290322</v>
      </c>
      <c r="K266" s="269"/>
      <c r="L266" s="142">
        <v>0</v>
      </c>
      <c r="M266" s="142">
        <v>10722.838709677419</v>
      </c>
      <c r="N266" s="142"/>
      <c r="O266" s="142">
        <v>3752.0967741935483</v>
      </c>
      <c r="P266" s="142"/>
      <c r="Q266" s="142">
        <v>61.612903225806448</v>
      </c>
      <c r="R266" s="142">
        <v>19.774193548387096</v>
      </c>
      <c r="S266" s="142">
        <v>10796.483870967742</v>
      </c>
      <c r="T266" s="142">
        <v>2239.6774193548385</v>
      </c>
      <c r="U266" s="142">
        <v>8061.8387096774195</v>
      </c>
      <c r="V266" s="142"/>
      <c r="W266" s="142">
        <v>9421.9032258064508</v>
      </c>
      <c r="X266" s="142">
        <v>48275.258064516129</v>
      </c>
      <c r="Y266" s="142">
        <v>30838.16129032258</v>
      </c>
      <c r="Z266" s="142">
        <v>4284.5161290322585</v>
      </c>
      <c r="AA266" s="142">
        <v>336.93548387096774</v>
      </c>
      <c r="AB266" s="142">
        <v>117.38709677419355</v>
      </c>
      <c r="AC266" s="142">
        <v>2013.2903225806451</v>
      </c>
      <c r="AD266" s="142">
        <v>591.09677419354841</v>
      </c>
      <c r="AE266" s="142">
        <v>3797.0322580645161</v>
      </c>
      <c r="AF266" s="142"/>
      <c r="AG266" s="142"/>
      <c r="AH266" s="142"/>
      <c r="AI266" s="117">
        <f t="shared" si="31"/>
        <v>142514.54838709676</v>
      </c>
      <c r="AJ266" s="211">
        <f t="shared" si="33"/>
        <v>149405</v>
      </c>
      <c r="AK266" s="104">
        <f t="shared" si="34"/>
        <v>-11539.31827956991</v>
      </c>
    </row>
    <row r="267" spans="3:37" x14ac:dyDescent="0.2">
      <c r="C267" s="146">
        <f t="shared" si="22"/>
        <v>2015.6666580000128</v>
      </c>
      <c r="D267" s="138">
        <v>42217</v>
      </c>
      <c r="E267" s="142">
        <v>1610.1935483870968</v>
      </c>
      <c r="F267" s="142">
        <v>348.61290322580646</v>
      </c>
      <c r="G267" s="142">
        <v>1197</v>
      </c>
      <c r="H267" s="142">
        <v>641.83870967741939</v>
      </c>
      <c r="I267" s="142">
        <v>152.12903225806451</v>
      </c>
      <c r="J267" s="268">
        <v>3457.1290322580599</v>
      </c>
      <c r="K267" s="269"/>
      <c r="L267" s="142">
        <v>271.67741935483872</v>
      </c>
      <c r="M267" s="142">
        <v>11048.774193548386</v>
      </c>
      <c r="N267" s="142"/>
      <c r="O267" s="142">
        <v>3735.8064516129034</v>
      </c>
      <c r="P267" s="142"/>
      <c r="Q267" s="142">
        <v>46.70967741935484</v>
      </c>
      <c r="R267" s="142">
        <v>20.29032258064516</v>
      </c>
      <c r="S267" s="142">
        <f>9383.22580645161+1193</f>
        <v>10576.22580645161</v>
      </c>
      <c r="T267" s="142">
        <v>5249.1612903225805</v>
      </c>
      <c r="U267" s="142">
        <v>7767.8387096774195</v>
      </c>
      <c r="V267" s="142"/>
      <c r="W267" s="142">
        <v>10820.612903225807</v>
      </c>
      <c r="X267" s="142">
        <v>58862.741935483871</v>
      </c>
      <c r="Y267" s="142">
        <v>9016.322580645161</v>
      </c>
      <c r="Z267" s="142">
        <v>2366.0322580645161</v>
      </c>
      <c r="AA267" s="142">
        <v>217.29032258064515</v>
      </c>
      <c r="AB267" s="142">
        <v>10.806451612903226</v>
      </c>
      <c r="AC267" s="142">
        <v>2118.2580645161293</v>
      </c>
      <c r="AD267" s="142">
        <v>754.22580645161293</v>
      </c>
      <c r="AE267" s="142">
        <v>4006.0322580645161</v>
      </c>
      <c r="AF267" s="142"/>
      <c r="AG267" s="142"/>
      <c r="AH267" s="142"/>
      <c r="AI267" s="117">
        <f t="shared" ref="AI267:AI274" si="35">SUM(E267:AH267)</f>
        <v>134295.70967741936</v>
      </c>
      <c r="AJ267" s="211">
        <f>+AJ266</f>
        <v>149405</v>
      </c>
      <c r="AK267" s="104">
        <f t="shared" si="34"/>
        <v>-8218.8387096773949</v>
      </c>
    </row>
    <row r="268" spans="3:37" x14ac:dyDescent="0.2">
      <c r="C268" s="146">
        <f t="shared" si="22"/>
        <v>2015.7499913000129</v>
      </c>
      <c r="D268" s="138">
        <v>42248</v>
      </c>
      <c r="E268" s="142">
        <v>1434.5333333333333</v>
      </c>
      <c r="F268" s="142">
        <v>340.73333333333335</v>
      </c>
      <c r="G268" s="142">
        <v>1202.5666666666666</v>
      </c>
      <c r="H268" s="142">
        <v>630.73333333333335</v>
      </c>
      <c r="I268" s="142">
        <v>156.80000000000001</v>
      </c>
      <c r="J268" s="268">
        <v>3365.7666666666701</v>
      </c>
      <c r="K268" s="269"/>
      <c r="L268" s="142">
        <v>253.23333333333332</v>
      </c>
      <c r="M268" s="142">
        <v>10995.733333333334</v>
      </c>
      <c r="N268" s="142"/>
      <c r="O268" s="142">
        <v>4088.6</v>
      </c>
      <c r="P268" s="142"/>
      <c r="Q268" s="142">
        <v>59.2</v>
      </c>
      <c r="R268" s="142">
        <v>17.100000000000001</v>
      </c>
      <c r="S268" s="142">
        <f>9492.36666666667+1300.23333333333</f>
        <v>10792.6</v>
      </c>
      <c r="T268" s="142">
        <v>7276.4333333333334</v>
      </c>
      <c r="U268" s="142">
        <v>5481.9</v>
      </c>
      <c r="V268" s="142"/>
      <c r="W268" s="142">
        <v>4441.5333333333338</v>
      </c>
      <c r="X268" s="142">
        <v>53443.333333333336</v>
      </c>
      <c r="Y268" s="142">
        <v>21087.933333333334</v>
      </c>
      <c r="Z268" s="142">
        <v>2572.8000000000002</v>
      </c>
      <c r="AA268" s="142">
        <v>365.03333333333336</v>
      </c>
      <c r="AB268" s="142">
        <v>124.93333333333334</v>
      </c>
      <c r="AC268" s="142">
        <v>1973.6</v>
      </c>
      <c r="AD268" s="142">
        <v>1077.9000000000001</v>
      </c>
      <c r="AE268" s="142">
        <v>3919.4333333333334</v>
      </c>
      <c r="AF268" s="142"/>
      <c r="AG268" s="142"/>
      <c r="AH268" s="142"/>
      <c r="AI268" s="117">
        <f t="shared" si="35"/>
        <v>135102.43333333335</v>
      </c>
      <c r="AJ268" s="211">
        <f>+AJ267</f>
        <v>149405</v>
      </c>
      <c r="AK268" s="104">
        <f t="shared" si="34"/>
        <v>806.72365591398557</v>
      </c>
    </row>
    <row r="269" spans="3:37" x14ac:dyDescent="0.2">
      <c r="C269" s="146">
        <f t="shared" si="22"/>
        <v>2015.8333246000129</v>
      </c>
      <c r="D269" s="138">
        <v>42278</v>
      </c>
      <c r="E269" s="142">
        <v>1323.2903225806451</v>
      </c>
      <c r="F269" s="142">
        <v>360.09677419354841</v>
      </c>
      <c r="G269" s="142">
        <v>1172.258064516129</v>
      </c>
      <c r="H269" s="142">
        <v>637.12903225806451</v>
      </c>
      <c r="I269" s="142">
        <v>151.2258064516129</v>
      </c>
      <c r="J269" s="268">
        <v>3472.9677419354839</v>
      </c>
      <c r="K269" s="269"/>
      <c r="L269" s="142">
        <v>241.70967741935485</v>
      </c>
      <c r="M269" s="142">
        <v>10977.645161290322</v>
      </c>
      <c r="N269" s="142"/>
      <c r="O269" s="142">
        <v>3915.4193548387098</v>
      </c>
      <c r="P269" s="142"/>
      <c r="Q269" s="142">
        <v>66.645161290322577</v>
      </c>
      <c r="R269" s="142">
        <v>19.774193548387096</v>
      </c>
      <c r="S269" s="142">
        <v>10558.2580645161</v>
      </c>
      <c r="T269" s="142">
        <v>2574.9677419354839</v>
      </c>
      <c r="U269" s="142">
        <v>6749.2258064516127</v>
      </c>
      <c r="V269" s="142">
        <v>9436.2258064516136</v>
      </c>
      <c r="W269" s="142">
        <v>678</v>
      </c>
      <c r="X269" s="142">
        <v>51913.032258064515</v>
      </c>
      <c r="Y269" s="142">
        <v>36384.06451612903</v>
      </c>
      <c r="Z269" s="142">
        <v>5325.1290322580644</v>
      </c>
      <c r="AA269" s="142">
        <v>221.41935483870967</v>
      </c>
      <c r="AB269" s="142">
        <v>10.387096774193548</v>
      </c>
      <c r="AC269" s="142">
        <v>1903.258064516129</v>
      </c>
      <c r="AD269" s="142">
        <v>1561.4193548387098</v>
      </c>
      <c r="AE269" s="142">
        <v>3673.9032258064517</v>
      </c>
      <c r="AF269" s="142"/>
      <c r="AG269" s="142"/>
      <c r="AH269" s="142"/>
      <c r="AI269" s="117">
        <f t="shared" si="35"/>
        <v>153327.45161290315</v>
      </c>
      <c r="AJ269" s="211">
        <f>+AJ268</f>
        <v>149405</v>
      </c>
      <c r="AK269" s="104">
        <f>+AI269-AI268</f>
        <v>18225.018279569806</v>
      </c>
    </row>
    <row r="270" spans="3:37" x14ac:dyDescent="0.2">
      <c r="C270" s="146">
        <f>+C269+0.0833333</f>
        <v>2015.916657900013</v>
      </c>
      <c r="D270" s="138">
        <v>42309</v>
      </c>
      <c r="E270" s="142">
        <v>1220.2</v>
      </c>
      <c r="F270" s="142">
        <v>357.03333333333336</v>
      </c>
      <c r="G270" s="142">
        <v>1097.3</v>
      </c>
      <c r="H270" s="142">
        <v>672.3</v>
      </c>
      <c r="I270" s="142">
        <v>143.6</v>
      </c>
      <c r="J270" s="268">
        <v>3349.4</v>
      </c>
      <c r="K270" s="269"/>
      <c r="L270" s="142">
        <v>169.4</v>
      </c>
      <c r="M270" s="142">
        <v>11007.933333333332</v>
      </c>
      <c r="N270" s="142"/>
      <c r="O270" s="142">
        <v>3822.1</v>
      </c>
      <c r="P270" s="142"/>
      <c r="Q270" s="142">
        <v>63.666666666666664</v>
      </c>
      <c r="R270" s="142">
        <v>17.166666666666668</v>
      </c>
      <c r="S270" s="142">
        <v>10286.4</v>
      </c>
      <c r="T270" s="142">
        <v>2527.0666666666666</v>
      </c>
      <c r="U270" s="142">
        <v>8197.9333333333325</v>
      </c>
      <c r="V270" s="142">
        <v>8981.6333333333332</v>
      </c>
      <c r="W270" s="153" t="s">
        <v>37</v>
      </c>
      <c r="X270" s="142">
        <v>50999.26666666667</v>
      </c>
      <c r="Y270" s="142">
        <v>37301.066666666666</v>
      </c>
      <c r="Z270" s="142">
        <v>5966.6</v>
      </c>
      <c r="AA270" s="142">
        <v>306.63333333333333</v>
      </c>
      <c r="AB270" s="142">
        <v>123.06666666666666</v>
      </c>
      <c r="AC270" s="142">
        <v>1756.0333333333299</v>
      </c>
      <c r="AD270" s="142">
        <v>1779.8333333333333</v>
      </c>
      <c r="AE270" s="142">
        <v>3929.1333333333332</v>
      </c>
      <c r="AF270" s="142"/>
      <c r="AG270" s="142"/>
      <c r="AH270" s="142"/>
      <c r="AI270" s="117">
        <f t="shared" si="35"/>
        <v>154074.76666666669</v>
      </c>
      <c r="AJ270" s="211">
        <f t="shared" si="33"/>
        <v>149405</v>
      </c>
      <c r="AK270" s="104">
        <f>+AI270-AI269</f>
        <v>747.31505376353743</v>
      </c>
    </row>
    <row r="271" spans="3:37" x14ac:dyDescent="0.2">
      <c r="C271" s="146">
        <f>+C270+0.0833333</f>
        <v>2015.999991200013</v>
      </c>
      <c r="D271" s="138">
        <v>42339</v>
      </c>
      <c r="E271" s="142">
        <v>1201.6774193548388</v>
      </c>
      <c r="F271" s="142">
        <v>348.83870967741933</v>
      </c>
      <c r="G271" s="142">
        <v>1042.0645161290322</v>
      </c>
      <c r="H271" s="142">
        <v>648.51612903225805</v>
      </c>
      <c r="I271" s="142">
        <v>133.74193548387098</v>
      </c>
      <c r="J271" s="268">
        <v>3288.8709677419356</v>
      </c>
      <c r="K271" s="269"/>
      <c r="L271" s="142">
        <v>165.7741935483871</v>
      </c>
      <c r="M271" s="142">
        <v>11144.483870967742</v>
      </c>
      <c r="N271" s="142"/>
      <c r="O271" s="142">
        <v>3904.8709677419356</v>
      </c>
      <c r="P271" s="142"/>
      <c r="Q271" s="142">
        <v>58.387096774193552</v>
      </c>
      <c r="R271" s="142">
        <v>18.258064516129032</v>
      </c>
      <c r="S271" s="142">
        <f>8918.58064516129 + 1190.677419</f>
        <v>10109.258064161289</v>
      </c>
      <c r="T271" s="142">
        <v>4617.1935483870966</v>
      </c>
      <c r="U271" s="142">
        <v>7547.3870967741932</v>
      </c>
      <c r="V271" s="142">
        <v>10184.41935483871</v>
      </c>
      <c r="W271" s="153" t="s">
        <v>37</v>
      </c>
      <c r="X271" s="142">
        <v>54585.129032258068</v>
      </c>
      <c r="Y271" s="142">
        <v>39603.032258064515</v>
      </c>
      <c r="Z271" s="142">
        <v>4693.1290322580644</v>
      </c>
      <c r="AA271" s="142">
        <v>136.19354838709677</v>
      </c>
      <c r="AB271" s="142">
        <v>33.12903225806452</v>
      </c>
      <c r="AC271" s="142">
        <v>1890.7741935483871</v>
      </c>
      <c r="AD271" s="142">
        <v>1944.7096774193549</v>
      </c>
      <c r="AE271" s="142">
        <v>3781.6774193548385</v>
      </c>
      <c r="AF271" s="142"/>
      <c r="AG271" s="142"/>
      <c r="AH271" s="142"/>
      <c r="AI271" s="117">
        <f t="shared" si="35"/>
        <v>161081.51612867744</v>
      </c>
      <c r="AJ271" s="211">
        <f t="shared" si="33"/>
        <v>149405</v>
      </c>
      <c r="AK271" s="104">
        <f>+AI271-AI270</f>
        <v>7006.7494620107464</v>
      </c>
    </row>
    <row r="272" spans="3:37" s="165" customFormat="1" x14ac:dyDescent="0.2">
      <c r="C272" s="159">
        <f t="shared" ref="C272:C300" si="36">+C271+0.0833333</f>
        <v>2016.0833245000131</v>
      </c>
      <c r="D272" s="160">
        <v>42370</v>
      </c>
      <c r="E272" s="161">
        <v>1119.2258064516129</v>
      </c>
      <c r="F272" s="161">
        <v>353.29032258064518</v>
      </c>
      <c r="G272" s="161">
        <v>1007.7741935483871</v>
      </c>
      <c r="H272" s="161">
        <v>663.64516129032256</v>
      </c>
      <c r="I272" s="161">
        <v>127.87096774193549</v>
      </c>
      <c r="J272" s="262">
        <v>3243.3225806451601</v>
      </c>
      <c r="K272" s="263"/>
      <c r="L272" s="161">
        <v>164.35483870967741</v>
      </c>
      <c r="M272" s="161">
        <v>11046.41935483871</v>
      </c>
      <c r="N272" s="161"/>
      <c r="O272" s="161">
        <v>4035.4193548387098</v>
      </c>
      <c r="P272" s="161"/>
      <c r="Q272" s="161">
        <v>53.903225806451616</v>
      </c>
      <c r="R272" s="161">
        <v>17.64516129032258</v>
      </c>
      <c r="S272" s="161">
        <v>9665</v>
      </c>
      <c r="T272" s="161">
        <v>2502</v>
      </c>
      <c r="U272" s="161">
        <v>6800</v>
      </c>
      <c r="V272" s="161">
        <v>9431.677419354839</v>
      </c>
      <c r="W272" s="162" t="s">
        <v>37</v>
      </c>
      <c r="X272" s="161">
        <v>30728.935483870966</v>
      </c>
      <c r="Y272" s="161">
        <v>21960.903225806451</v>
      </c>
      <c r="Z272" s="161">
        <v>3946.2903225806454</v>
      </c>
      <c r="AA272" s="161">
        <v>356.83870967741933</v>
      </c>
      <c r="AB272" s="161">
        <v>74.483870967741936</v>
      </c>
      <c r="AC272" s="161">
        <v>1865.9677419354839</v>
      </c>
      <c r="AD272" s="161">
        <v>337.96774193548384</v>
      </c>
      <c r="AE272" s="161">
        <v>1483.4516129032259</v>
      </c>
      <c r="AF272" s="161"/>
      <c r="AG272" s="161"/>
      <c r="AH272" s="161"/>
      <c r="AI272" s="163">
        <f>SUM(E272:AH272)</f>
        <v>110986.38709677421</v>
      </c>
      <c r="AJ272" s="170">
        <v>135096</v>
      </c>
      <c r="AK272" s="164">
        <f>+AI272-AI271</f>
        <v>-50095.129031903227</v>
      </c>
    </row>
    <row r="273" spans="3:39" s="165" customFormat="1" x14ac:dyDescent="0.2">
      <c r="C273" s="159">
        <f t="shared" si="36"/>
        <v>2016.1666578000131</v>
      </c>
      <c r="D273" s="160">
        <v>42401</v>
      </c>
      <c r="E273" s="161">
        <v>1102.9310344827586</v>
      </c>
      <c r="F273" s="161">
        <v>322.79310344827587</v>
      </c>
      <c r="G273" s="161">
        <v>1008.9310344827586</v>
      </c>
      <c r="H273" s="161">
        <v>620.20689655172418</v>
      </c>
      <c r="I273" s="161">
        <v>133.34482758620689</v>
      </c>
      <c r="J273" s="262">
        <v>3242.8965517241381</v>
      </c>
      <c r="K273" s="263">
        <v>0</v>
      </c>
      <c r="L273" s="161">
        <v>183.44827586206895</v>
      </c>
      <c r="M273" s="161">
        <v>10945.931034482759</v>
      </c>
      <c r="N273" s="161"/>
      <c r="O273" s="161">
        <v>3794.7931034482758</v>
      </c>
      <c r="P273" s="161"/>
      <c r="Q273" s="161">
        <v>51.206896551724135</v>
      </c>
      <c r="R273" s="161">
        <v>16.137931034482758</v>
      </c>
      <c r="S273" s="161">
        <v>9842.9310344827591</v>
      </c>
      <c r="T273" s="161">
        <v>3873.8965517241381</v>
      </c>
      <c r="U273" s="161">
        <v>7572.8965517241377</v>
      </c>
      <c r="V273" s="161">
        <v>4223.8965517241377</v>
      </c>
      <c r="W273" s="162"/>
      <c r="X273" s="161">
        <v>55195.965517241377</v>
      </c>
      <c r="Y273" s="161">
        <v>24998.137931034482</v>
      </c>
      <c r="Z273" s="161">
        <v>2003.7586206896551</v>
      </c>
      <c r="AA273" s="161">
        <v>194</v>
      </c>
      <c r="AB273" s="161">
        <v>72.482758620689651</v>
      </c>
      <c r="AC273" s="161">
        <v>1502</v>
      </c>
      <c r="AD273" s="161">
        <v>565.41379310344826</v>
      </c>
      <c r="AE273" s="161">
        <v>66.58620689655173</v>
      </c>
      <c r="AF273" s="166"/>
      <c r="AG273" s="166"/>
      <c r="AH273" s="166"/>
      <c r="AI273" s="163">
        <f t="shared" si="35"/>
        <v>131534.58620689652</v>
      </c>
      <c r="AJ273" s="170">
        <f>+AJ272</f>
        <v>135096</v>
      </c>
      <c r="AK273" s="164">
        <f t="shared" ref="AK273:AK287" si="37">+AI273-AI272</f>
        <v>20548.19911012231</v>
      </c>
    </row>
    <row r="274" spans="3:39" s="169" customFormat="1" x14ac:dyDescent="0.2">
      <c r="C274" s="159">
        <f t="shared" si="36"/>
        <v>2016.2499911000132</v>
      </c>
      <c r="D274" s="160">
        <v>42430</v>
      </c>
      <c r="E274" s="161">
        <v>1056.3225806451612</v>
      </c>
      <c r="F274" s="161">
        <v>295.93548387096774</v>
      </c>
      <c r="G274" s="161">
        <v>768.25806451612902</v>
      </c>
      <c r="H274" s="161">
        <v>598.32258064516134</v>
      </c>
      <c r="I274" s="161">
        <v>118.51612903225806</v>
      </c>
      <c r="J274" s="262">
        <v>2940.9032258064499</v>
      </c>
      <c r="K274" s="263"/>
      <c r="L274" s="161">
        <v>213.09677419354838</v>
      </c>
      <c r="M274" s="161">
        <v>10465.741935483871</v>
      </c>
      <c r="N274" s="161"/>
      <c r="O274" s="161">
        <v>4093.0322580645161</v>
      </c>
      <c r="P274" s="161"/>
      <c r="Q274" s="161">
        <v>52.967741935483872</v>
      </c>
      <c r="R274" s="161">
        <v>14.064516129032258</v>
      </c>
      <c r="S274" s="161">
        <v>9719.5806451612898</v>
      </c>
      <c r="T274" s="161">
        <v>2992.3870967741937</v>
      </c>
      <c r="U274" s="161">
        <v>6006.6129032258068</v>
      </c>
      <c r="V274" s="161">
        <v>0</v>
      </c>
      <c r="W274" s="162"/>
      <c r="X274" s="161">
        <v>48012.129032258068</v>
      </c>
      <c r="Y274" s="161">
        <v>39933</v>
      </c>
      <c r="Z274" s="161">
        <v>6135.677419354839</v>
      </c>
      <c r="AA274" s="161">
        <v>182.25806451612902</v>
      </c>
      <c r="AB274" s="161">
        <v>56.677419354838712</v>
      </c>
      <c r="AC274" s="161">
        <v>1820.6774193548388</v>
      </c>
      <c r="AD274" s="161">
        <v>963.70967741935488</v>
      </c>
      <c r="AE274" s="161">
        <v>0</v>
      </c>
      <c r="AF274" s="168"/>
      <c r="AG274" s="168"/>
      <c r="AH274" s="168"/>
      <c r="AI274" s="163">
        <f t="shared" si="35"/>
        <v>136439.87096774197</v>
      </c>
      <c r="AJ274" s="170">
        <f>+AJ273</f>
        <v>135096</v>
      </c>
      <c r="AK274" s="164">
        <f t="shared" si="37"/>
        <v>4905.2847608454467</v>
      </c>
    </row>
    <row r="275" spans="3:39" s="169" customFormat="1" x14ac:dyDescent="0.2">
      <c r="C275" s="159">
        <f t="shared" si="36"/>
        <v>2016.3333244000132</v>
      </c>
      <c r="D275" s="160">
        <v>42461</v>
      </c>
      <c r="E275" s="161">
        <v>1028.7</v>
      </c>
      <c r="F275" s="161">
        <v>314.56666666666666</v>
      </c>
      <c r="G275" s="161">
        <v>1008.3666666666667</v>
      </c>
      <c r="H275" s="161">
        <v>596.29999999999995</v>
      </c>
      <c r="I275" s="161">
        <v>123.7</v>
      </c>
      <c r="J275" s="262">
        <v>3179.3333333333298</v>
      </c>
      <c r="K275" s="263"/>
      <c r="L275" s="161">
        <v>220.76666666666668</v>
      </c>
      <c r="M275" s="161">
        <v>10810.3</v>
      </c>
      <c r="N275" s="161"/>
      <c r="O275" s="161">
        <v>3951.9666666666667</v>
      </c>
      <c r="P275" s="161"/>
      <c r="Q275" s="161">
        <v>50.4</v>
      </c>
      <c r="R275" s="161">
        <v>13.6</v>
      </c>
      <c r="S275" s="161">
        <v>9401.1666666666661</v>
      </c>
      <c r="T275" s="161">
        <v>3353.4</v>
      </c>
      <c r="U275" s="161">
        <v>5271.2</v>
      </c>
      <c r="V275" s="161">
        <v>0</v>
      </c>
      <c r="W275" s="162"/>
      <c r="X275" s="161">
        <v>54283.033333333333</v>
      </c>
      <c r="Y275" s="161">
        <v>36841.23333333333</v>
      </c>
      <c r="Z275" s="161">
        <v>7608.3</v>
      </c>
      <c r="AA275" s="161">
        <v>113.13333333333334</v>
      </c>
      <c r="AB275" s="161">
        <v>0</v>
      </c>
      <c r="AC275" s="161">
        <v>1819.3</v>
      </c>
      <c r="AD275" s="161">
        <v>491.8</v>
      </c>
      <c r="AE275" s="161">
        <v>1705.2666666666667</v>
      </c>
      <c r="AF275" s="168"/>
      <c r="AG275" s="168"/>
      <c r="AH275" s="168"/>
      <c r="AI275" s="163">
        <f t="shared" ref="AI275:AI284" si="38">SUM(E275:AH275)</f>
        <v>142185.83333333328</v>
      </c>
      <c r="AJ275" s="170">
        <f t="shared" ref="AJ275:AJ283" si="39">+AJ274</f>
        <v>135096</v>
      </c>
      <c r="AK275" s="164">
        <f t="shared" si="37"/>
        <v>5745.9623655913165</v>
      </c>
      <c r="AM275" s="170"/>
    </row>
    <row r="276" spans="3:39" s="169" customFormat="1" x14ac:dyDescent="0.2">
      <c r="C276" s="159">
        <f t="shared" si="36"/>
        <v>2016.4166577000133</v>
      </c>
      <c r="D276" s="160">
        <v>42491</v>
      </c>
      <c r="E276" s="161">
        <v>1043.8387096774193</v>
      </c>
      <c r="F276" s="161">
        <v>339.77419354838707</v>
      </c>
      <c r="G276" s="161">
        <v>975.25806451612902</v>
      </c>
      <c r="H276" s="161">
        <v>601.0322580645161</v>
      </c>
      <c r="I276" s="161">
        <v>128.74193548387098</v>
      </c>
      <c r="J276" s="262">
        <v>3165.16129032258</v>
      </c>
      <c r="K276" s="263"/>
      <c r="L276" s="161">
        <v>184.90322580645162</v>
      </c>
      <c r="M276" s="161">
        <v>10743.064516129032</v>
      </c>
      <c r="N276" s="161"/>
      <c r="O276" s="161">
        <v>3888.9032258064517</v>
      </c>
      <c r="P276" s="161"/>
      <c r="Q276" s="161">
        <v>50.70967741935484</v>
      </c>
      <c r="R276" s="161">
        <v>15.741935483870968</v>
      </c>
      <c r="S276" s="161">
        <v>9326.9354838709678</v>
      </c>
      <c r="T276" s="161">
        <v>2876.516129032258</v>
      </c>
      <c r="U276" s="161">
        <v>6048.7741935483873</v>
      </c>
      <c r="V276" s="161">
        <v>0</v>
      </c>
      <c r="W276" s="162"/>
      <c r="X276" s="161">
        <v>55623.258064516129</v>
      </c>
      <c r="Y276" s="161">
        <v>33996.483870967742</v>
      </c>
      <c r="Z276" s="161">
        <v>11789.129032258064</v>
      </c>
      <c r="AA276" s="161">
        <v>13.548387096774194</v>
      </c>
      <c r="AB276" s="161">
        <v>41.70967741935484</v>
      </c>
      <c r="AC276" s="161">
        <v>1061</v>
      </c>
      <c r="AD276" s="161">
        <v>1937.9354838709678</v>
      </c>
      <c r="AE276" s="161">
        <v>2608.9032258064517</v>
      </c>
      <c r="AF276" s="168"/>
      <c r="AG276" s="168"/>
      <c r="AH276" s="168"/>
      <c r="AI276" s="163">
        <f t="shared" si="38"/>
        <v>146461.32258064518</v>
      </c>
      <c r="AJ276" s="170">
        <f t="shared" si="39"/>
        <v>135096</v>
      </c>
      <c r="AK276" s="164">
        <f t="shared" si="37"/>
        <v>4275.4892473118962</v>
      </c>
    </row>
    <row r="277" spans="3:39" s="175" customFormat="1" x14ac:dyDescent="0.2">
      <c r="C277" s="159">
        <f t="shared" si="36"/>
        <v>2016.4999910000133</v>
      </c>
      <c r="D277" s="171">
        <v>42522</v>
      </c>
      <c r="E277" s="172">
        <v>1008.8333333333334</v>
      </c>
      <c r="F277" s="172">
        <v>328.9</v>
      </c>
      <c r="G277" s="172">
        <v>1006.2333333333333</v>
      </c>
      <c r="H277" s="172">
        <v>607.29999999999995</v>
      </c>
      <c r="I277" s="172">
        <v>128.36666666666667</v>
      </c>
      <c r="J277" s="262">
        <v>3254.8666666666668</v>
      </c>
      <c r="K277" s="263"/>
      <c r="L277" s="172">
        <v>192.66666666666666</v>
      </c>
      <c r="M277" s="172">
        <v>10732.333333333334</v>
      </c>
      <c r="N277" s="172"/>
      <c r="O277" s="172">
        <v>3616.4</v>
      </c>
      <c r="P277" s="172"/>
      <c r="Q277" s="172">
        <v>48.266666666666666</v>
      </c>
      <c r="R277" s="172">
        <v>17.433333333333334</v>
      </c>
      <c r="S277" s="172">
        <v>9383.5666666666675</v>
      </c>
      <c r="T277" s="172">
        <v>0</v>
      </c>
      <c r="U277" s="172">
        <v>4673.333333333333</v>
      </c>
      <c r="V277" s="172">
        <v>0</v>
      </c>
      <c r="W277" s="172"/>
      <c r="X277" s="172">
        <v>52875.166666666664</v>
      </c>
      <c r="Y277" s="172">
        <v>30062.7</v>
      </c>
      <c r="Z277" s="172">
        <v>9357.3333333333339</v>
      </c>
      <c r="AA277" s="172">
        <v>59.3</v>
      </c>
      <c r="AB277" s="172">
        <v>0</v>
      </c>
      <c r="AC277" s="172">
        <v>1055.5666666666666</v>
      </c>
      <c r="AD277" s="172">
        <v>0</v>
      </c>
      <c r="AE277" s="172">
        <v>2864.3333333333335</v>
      </c>
      <c r="AF277" s="173"/>
      <c r="AG277" s="173"/>
      <c r="AH277" s="173"/>
      <c r="AI277" s="174">
        <f t="shared" si="38"/>
        <v>131272.9</v>
      </c>
      <c r="AJ277" s="170">
        <f t="shared" si="39"/>
        <v>135096</v>
      </c>
      <c r="AK277" s="167">
        <f>+AI277-AI276</f>
        <v>-15188.422580645187</v>
      </c>
    </row>
    <row r="278" spans="3:39" s="175" customFormat="1" x14ac:dyDescent="0.2">
      <c r="C278" s="159">
        <f t="shared" si="36"/>
        <v>2016.5833243000134</v>
      </c>
      <c r="D278" s="171">
        <v>42552</v>
      </c>
      <c r="E278" s="172">
        <v>1008.1935483870968</v>
      </c>
      <c r="F278" s="172">
        <v>308.35483870967744</v>
      </c>
      <c r="G278" s="172">
        <v>967.77419354838707</v>
      </c>
      <c r="H278" s="172">
        <v>637.64516129032256</v>
      </c>
      <c r="I278" s="172">
        <v>134.16129032258064</v>
      </c>
      <c r="J278" s="262">
        <v>3235.8387096774195</v>
      </c>
      <c r="K278" s="263"/>
      <c r="L278" s="172">
        <v>179.93548387096774</v>
      </c>
      <c r="M278" s="172">
        <v>10581.193548387097</v>
      </c>
      <c r="N278" s="172"/>
      <c r="O278" s="172">
        <v>3546.5483870967741</v>
      </c>
      <c r="P278" s="172"/>
      <c r="Q278" s="172">
        <v>46.032258064516128</v>
      </c>
      <c r="R278" s="172">
        <v>15.870967741935484</v>
      </c>
      <c r="S278" s="172">
        <v>9072.2903225806458</v>
      </c>
      <c r="T278" s="172">
        <v>4514.8387096774195</v>
      </c>
      <c r="U278" s="172">
        <v>6118.7096774193551</v>
      </c>
      <c r="V278" s="172">
        <v>0</v>
      </c>
      <c r="W278" s="172"/>
      <c r="X278" s="172">
        <v>53051.451612903227</v>
      </c>
      <c r="Y278" s="172">
        <v>34124.354838709674</v>
      </c>
      <c r="Z278" s="172">
        <v>11687.709677419354</v>
      </c>
      <c r="AA278" s="172">
        <v>62.41935483870968</v>
      </c>
      <c r="AB278" s="172">
        <v>50.451612903225808</v>
      </c>
      <c r="AC278" s="172">
        <v>729.06451612903231</v>
      </c>
      <c r="AD278" s="172">
        <v>0</v>
      </c>
      <c r="AE278" s="172">
        <v>2983.2903225806454</v>
      </c>
      <c r="AF278" s="173"/>
      <c r="AG278" s="173"/>
      <c r="AH278" s="173"/>
      <c r="AI278" s="174">
        <f t="shared" si="38"/>
        <v>143056.12903225803</v>
      </c>
      <c r="AJ278" s="170">
        <f t="shared" si="39"/>
        <v>135096</v>
      </c>
      <c r="AK278" s="167">
        <f>+AI278-AI277</f>
        <v>11783.229032258037</v>
      </c>
    </row>
    <row r="279" spans="3:39" s="175" customFormat="1" x14ac:dyDescent="0.2">
      <c r="C279" s="159">
        <f t="shared" si="36"/>
        <v>2016.6666576000134</v>
      </c>
      <c r="D279" s="171">
        <v>42583</v>
      </c>
      <c r="E279" s="172">
        <v>1096.1935483870968</v>
      </c>
      <c r="F279" s="172">
        <v>303.38709677419354</v>
      </c>
      <c r="G279" s="172">
        <v>935.74193548387098</v>
      </c>
      <c r="H279" s="172">
        <v>615.83870967741939</v>
      </c>
      <c r="I279" s="172">
        <v>126.19354838709677</v>
      </c>
      <c r="J279" s="176">
        <v>3181.3225806451615</v>
      </c>
      <c r="K279" s="177"/>
      <c r="L279" s="172">
        <v>183.41935483870967</v>
      </c>
      <c r="M279" s="172">
        <v>10651.322580645161</v>
      </c>
      <c r="N279" s="172"/>
      <c r="O279" s="172">
        <v>3682.5806451612902</v>
      </c>
      <c r="P279" s="172"/>
      <c r="Q279" s="172">
        <v>47.193548387096776</v>
      </c>
      <c r="R279" s="172">
        <v>14.451612903225806</v>
      </c>
      <c r="S279" s="172">
        <v>9502.2258064516136</v>
      </c>
      <c r="T279" s="172">
        <v>2827.5483870967741</v>
      </c>
      <c r="U279" s="172">
        <v>6092.4838709677415</v>
      </c>
      <c r="V279" s="172">
        <v>0</v>
      </c>
      <c r="W279" s="178"/>
      <c r="X279" s="172">
        <v>53724.774193548386</v>
      </c>
      <c r="Y279" s="172">
        <v>34606.032258064515</v>
      </c>
      <c r="Z279" s="172">
        <v>11677.032258064517</v>
      </c>
      <c r="AA279" s="172">
        <v>52.967741935483872</v>
      </c>
      <c r="AB279" s="172">
        <v>51.58064516129032</v>
      </c>
      <c r="AC279" s="172">
        <v>1006.258064516129</v>
      </c>
      <c r="AD279" s="172">
        <v>0</v>
      </c>
      <c r="AE279" s="172">
        <v>3087.6129032258063</v>
      </c>
      <c r="AF279" s="173"/>
      <c r="AG279" s="173"/>
      <c r="AH279" s="173"/>
      <c r="AI279" s="174">
        <f t="shared" si="38"/>
        <v>143466.16129032261</v>
      </c>
      <c r="AJ279" s="170">
        <f t="shared" si="39"/>
        <v>135096</v>
      </c>
      <c r="AK279" s="167">
        <f t="shared" si="37"/>
        <v>410.0322580645734</v>
      </c>
    </row>
    <row r="280" spans="3:39" s="175" customFormat="1" x14ac:dyDescent="0.2">
      <c r="C280" s="159">
        <f t="shared" si="36"/>
        <v>2016.7499909000135</v>
      </c>
      <c r="D280" s="171">
        <v>42614</v>
      </c>
      <c r="E280" s="172">
        <v>1072.4000000000001</v>
      </c>
      <c r="F280" s="172">
        <v>273.7</v>
      </c>
      <c r="G280" s="172">
        <v>943.36666666666667</v>
      </c>
      <c r="H280" s="172">
        <v>601.63333333333333</v>
      </c>
      <c r="I280" s="172">
        <v>124.46666666666667</v>
      </c>
      <c r="J280" s="176">
        <v>3168.6</v>
      </c>
      <c r="K280" s="177"/>
      <c r="L280" s="172">
        <v>185</v>
      </c>
      <c r="M280" s="172">
        <v>10746.466666666667</v>
      </c>
      <c r="N280" s="172"/>
      <c r="O280" s="172">
        <v>3482.3</v>
      </c>
      <c r="P280" s="172"/>
      <c r="Q280" s="172">
        <v>45.366666666666667</v>
      </c>
      <c r="R280" s="172">
        <v>14.033333333333333</v>
      </c>
      <c r="S280" s="172">
        <v>9208.4666666666672</v>
      </c>
      <c r="T280" s="172">
        <v>2902.3333333333335</v>
      </c>
      <c r="U280" s="172">
        <v>0</v>
      </c>
      <c r="V280" s="172">
        <v>0</v>
      </c>
      <c r="W280" s="178"/>
      <c r="X280" s="172">
        <v>45180.133333333331</v>
      </c>
      <c r="Y280" s="172">
        <v>36006.26666666667</v>
      </c>
      <c r="Z280" s="172">
        <v>10151.233333333334</v>
      </c>
      <c r="AA280" s="172">
        <v>52.666666666666664</v>
      </c>
      <c r="AB280" s="172">
        <v>47.766666666666666</v>
      </c>
      <c r="AC280" s="172">
        <v>1307.2</v>
      </c>
      <c r="AD280" s="172">
        <v>0</v>
      </c>
      <c r="AE280" s="172">
        <v>2983.8666666666668</v>
      </c>
      <c r="AF280" s="173"/>
      <c r="AG280" s="173"/>
      <c r="AH280" s="173"/>
      <c r="AI280" s="174">
        <f t="shared" si="38"/>
        <v>128497.26666666666</v>
      </c>
      <c r="AJ280" s="170">
        <f t="shared" si="39"/>
        <v>135096</v>
      </c>
      <c r="AK280" s="167">
        <f t="shared" si="37"/>
        <v>-14968.894623655942</v>
      </c>
    </row>
    <row r="281" spans="3:39" s="169" customFormat="1" x14ac:dyDescent="0.2">
      <c r="C281" s="159">
        <f t="shared" si="36"/>
        <v>2016.8333242000135</v>
      </c>
      <c r="D281" s="160">
        <v>42644</v>
      </c>
      <c r="E281" s="161">
        <v>1023.0967741935484</v>
      </c>
      <c r="F281" s="161">
        <v>318.32258064516128</v>
      </c>
      <c r="G281" s="161">
        <v>936.80645161290317</v>
      </c>
      <c r="H281" s="161">
        <v>609.48387096774195</v>
      </c>
      <c r="I281" s="161">
        <v>135</v>
      </c>
      <c r="J281" s="179">
        <v>3232.1290322580644</v>
      </c>
      <c r="K281" s="180"/>
      <c r="L281" s="161">
        <v>193.45161290322579</v>
      </c>
      <c r="M281" s="161">
        <v>10927.838709677419</v>
      </c>
      <c r="N281" s="161"/>
      <c r="O281" s="161">
        <v>3186.8064516129034</v>
      </c>
      <c r="P281" s="161"/>
      <c r="Q281" s="161">
        <v>43.935483870967744</v>
      </c>
      <c r="R281" s="161">
        <v>13.419354838709678</v>
      </c>
      <c r="S281" s="161">
        <v>9853.354838709678</v>
      </c>
      <c r="T281" s="161">
        <v>2743.7419354838707</v>
      </c>
      <c r="U281" s="161">
        <v>0</v>
      </c>
      <c r="V281" s="161">
        <v>0</v>
      </c>
      <c r="W281" s="162"/>
      <c r="X281" s="161">
        <v>49353.129032258068</v>
      </c>
      <c r="Y281" s="161">
        <v>34508.032258064515</v>
      </c>
      <c r="Z281" s="161">
        <v>10156.774193548386</v>
      </c>
      <c r="AA281" s="161">
        <v>79.096774193548384</v>
      </c>
      <c r="AB281" s="161">
        <v>40.58064516129032</v>
      </c>
      <c r="AC281" s="161">
        <v>1498.7741935483871</v>
      </c>
      <c r="AD281" s="161">
        <v>0</v>
      </c>
      <c r="AE281" s="161">
        <v>3024.8387096774195</v>
      </c>
      <c r="AF281" s="168"/>
      <c r="AG281" s="168"/>
      <c r="AH281" s="168"/>
      <c r="AI281" s="174">
        <f t="shared" si="38"/>
        <v>131878.61290322579</v>
      </c>
      <c r="AJ281" s="170">
        <f t="shared" si="39"/>
        <v>135096</v>
      </c>
      <c r="AK281" s="167">
        <f>+AI281-AI280</f>
        <v>3381.3462365591258</v>
      </c>
    </row>
    <row r="282" spans="3:39" s="169" customFormat="1" x14ac:dyDescent="0.2">
      <c r="C282" s="159">
        <f t="shared" si="36"/>
        <v>2016.9166575000136</v>
      </c>
      <c r="D282" s="160">
        <v>42675</v>
      </c>
      <c r="E282" s="161">
        <v>988.9</v>
      </c>
      <c r="F282" s="161">
        <v>326.03333333333336</v>
      </c>
      <c r="G282" s="161">
        <v>937.8</v>
      </c>
      <c r="H282" s="161">
        <v>627.79999999999995</v>
      </c>
      <c r="I282" s="161">
        <v>133.96666666666667</v>
      </c>
      <c r="J282" s="179">
        <v>3265.8</v>
      </c>
      <c r="K282" s="180"/>
      <c r="L282" s="161">
        <v>187.06666666666666</v>
      </c>
      <c r="M282" s="161">
        <v>11001.1</v>
      </c>
      <c r="N282" s="161"/>
      <c r="O282" s="161">
        <v>3104.2666666666669</v>
      </c>
      <c r="P282" s="161"/>
      <c r="Q282" s="161">
        <v>45.666666666666664</v>
      </c>
      <c r="R282" s="161">
        <v>12.166666666666666</v>
      </c>
      <c r="S282" s="161">
        <v>9940.9333333333325</v>
      </c>
      <c r="T282" s="161">
        <v>2642.8666666666668</v>
      </c>
      <c r="U282" s="161">
        <v>0</v>
      </c>
      <c r="V282" s="161">
        <v>0</v>
      </c>
      <c r="W282" s="162"/>
      <c r="X282" s="161">
        <v>52816.866666666669</v>
      </c>
      <c r="Y282" s="161">
        <v>36082.866666666669</v>
      </c>
      <c r="Z282" s="161">
        <v>10601.8</v>
      </c>
      <c r="AA282" s="161">
        <v>63.966666666666669</v>
      </c>
      <c r="AB282" s="161">
        <v>43.133333333333333</v>
      </c>
      <c r="AC282" s="161">
        <v>996.8</v>
      </c>
      <c r="AD282" s="161">
        <v>0</v>
      </c>
      <c r="AE282" s="161">
        <v>3060.9</v>
      </c>
      <c r="AF282" s="168"/>
      <c r="AG282" s="168"/>
      <c r="AH282" s="168"/>
      <c r="AI282" s="174">
        <f t="shared" si="38"/>
        <v>136880.69999999998</v>
      </c>
      <c r="AJ282" s="170">
        <f t="shared" si="39"/>
        <v>135096</v>
      </c>
      <c r="AK282" s="164">
        <f t="shared" si="37"/>
        <v>5002.0870967741939</v>
      </c>
    </row>
    <row r="283" spans="3:39" s="165" customFormat="1" x14ac:dyDescent="0.2">
      <c r="C283" s="159">
        <f t="shared" si="36"/>
        <v>2016.9999908000136</v>
      </c>
      <c r="D283" s="160">
        <v>42705</v>
      </c>
      <c r="E283" s="161">
        <v>954.19354838709683</v>
      </c>
      <c r="F283" s="161">
        <v>320.64516129032256</v>
      </c>
      <c r="G283" s="161">
        <v>910.41935483870964</v>
      </c>
      <c r="H283" s="161">
        <v>845.61290322580646</v>
      </c>
      <c r="I283" s="161">
        <v>124.7741935483871</v>
      </c>
      <c r="J283" s="179">
        <v>3332.7419354838707</v>
      </c>
      <c r="K283" s="180"/>
      <c r="L283" s="161">
        <v>184.67741935483872</v>
      </c>
      <c r="M283" s="161">
        <v>10603.967741935483</v>
      </c>
      <c r="N283" s="161"/>
      <c r="O283" s="161">
        <v>3503.3548387096776</v>
      </c>
      <c r="P283" s="161"/>
      <c r="Q283" s="161">
        <v>41.548387096774192</v>
      </c>
      <c r="R283" s="161">
        <v>13.161290322580646</v>
      </c>
      <c r="S283" s="161">
        <v>9530.322580645161</v>
      </c>
      <c r="T283" s="161">
        <v>2205.1290322580644</v>
      </c>
      <c r="U283" s="161">
        <v>3879.0645161290322</v>
      </c>
      <c r="V283" s="161">
        <v>0</v>
      </c>
      <c r="W283" s="162"/>
      <c r="X283" s="161">
        <v>51973.645161290326</v>
      </c>
      <c r="Y283" s="161">
        <v>36020</v>
      </c>
      <c r="Z283" s="161">
        <v>9918.8064516129034</v>
      </c>
      <c r="AA283" s="161">
        <v>32.774193548387096</v>
      </c>
      <c r="AB283" s="161">
        <v>41.645161290322584</v>
      </c>
      <c r="AC283" s="161">
        <v>818.38709677419354</v>
      </c>
      <c r="AD283" s="161">
        <v>0</v>
      </c>
      <c r="AE283" s="161">
        <v>2952.9032258064517</v>
      </c>
      <c r="AF283" s="166"/>
      <c r="AG283" s="166"/>
      <c r="AH283" s="166"/>
      <c r="AI283" s="174">
        <f t="shared" si="38"/>
        <v>138207.77419354839</v>
      </c>
      <c r="AJ283" s="170">
        <f t="shared" si="39"/>
        <v>135096</v>
      </c>
      <c r="AK283" s="164">
        <f t="shared" si="37"/>
        <v>1327.0741935484111</v>
      </c>
    </row>
    <row r="284" spans="3:39" s="187" customFormat="1" x14ac:dyDescent="0.2">
      <c r="C284" s="185">
        <f t="shared" si="36"/>
        <v>2017.0833241000137</v>
      </c>
      <c r="D284" s="186">
        <v>42736</v>
      </c>
      <c r="E284" s="206">
        <v>921.35483870967744</v>
      </c>
      <c r="F284" s="206">
        <v>308.16129032258067</v>
      </c>
      <c r="G284" s="206">
        <v>922.41935483870964</v>
      </c>
      <c r="H284" s="206">
        <v>1435.7741935483871</v>
      </c>
      <c r="I284" s="206">
        <v>120.38709677419355</v>
      </c>
      <c r="J284" s="206">
        <v>3369.3870967741937</v>
      </c>
      <c r="K284" s="206"/>
      <c r="L284" s="206">
        <v>179.38709677419354</v>
      </c>
      <c r="M284" s="206">
        <v>11187.451612903225</v>
      </c>
      <c r="N284" s="206"/>
      <c r="O284" s="206">
        <v>3535.7096774193546</v>
      </c>
      <c r="P284" s="206"/>
      <c r="Q284" s="206">
        <v>38.322580645161288</v>
      </c>
      <c r="R284" s="206">
        <v>11.96774193548387</v>
      </c>
      <c r="S284" s="206">
        <v>9185</v>
      </c>
      <c r="T284" s="206">
        <v>378.64516129032256</v>
      </c>
      <c r="U284" s="206">
        <v>5753.2258064516127</v>
      </c>
      <c r="V284" s="206">
        <v>0</v>
      </c>
      <c r="W284" s="206"/>
      <c r="X284" s="206">
        <v>49614</v>
      </c>
      <c r="Y284" s="206">
        <v>32194.516129032258</v>
      </c>
      <c r="Z284" s="206">
        <v>10721.677419354839</v>
      </c>
      <c r="AA284" s="206">
        <v>65.516129032258064</v>
      </c>
      <c r="AB284" s="206">
        <v>0</v>
      </c>
      <c r="AC284" s="206">
        <v>1265.2258064516129</v>
      </c>
      <c r="AD284" s="206">
        <v>0</v>
      </c>
      <c r="AE284" s="206">
        <v>2836.7741935483873</v>
      </c>
      <c r="AF284" s="206">
        <v>0</v>
      </c>
      <c r="AG284" s="206">
        <v>0</v>
      </c>
      <c r="AH284" s="206">
        <v>0</v>
      </c>
      <c r="AI284" s="190">
        <f t="shared" si="38"/>
        <v>134044.90322580645</v>
      </c>
      <c r="AJ284" s="215">
        <v>134341</v>
      </c>
      <c r="AK284" s="188">
        <f>+AI284-AI283</f>
        <v>-4162.8709677419392</v>
      </c>
      <c r="AL284" s="189"/>
    </row>
    <row r="285" spans="3:39" s="111" customFormat="1" x14ac:dyDescent="0.2">
      <c r="C285" s="185">
        <f t="shared" si="36"/>
        <v>2017.1666574000137</v>
      </c>
      <c r="D285" s="186">
        <v>42767</v>
      </c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191">
        <v>136482</v>
      </c>
      <c r="AJ285" s="215">
        <f>+AJ284</f>
        <v>134341</v>
      </c>
      <c r="AK285" s="188">
        <f>+AI285-AI284</f>
        <v>2437.0967741935456</v>
      </c>
    </row>
    <row r="286" spans="3:39" s="111" customFormat="1" x14ac:dyDescent="0.2">
      <c r="C286" s="185">
        <f t="shared" si="36"/>
        <v>2017.2499907000138</v>
      </c>
      <c r="D286" s="186">
        <v>42795</v>
      </c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191">
        <v>134270</v>
      </c>
      <c r="AJ286" s="215">
        <f t="shared" ref="AJ286:AJ295" si="40">+AJ285</f>
        <v>134341</v>
      </c>
      <c r="AK286" s="188">
        <f t="shared" si="37"/>
        <v>-2212</v>
      </c>
    </row>
    <row r="287" spans="3:39" s="111" customFormat="1" x14ac:dyDescent="0.2">
      <c r="C287" s="185">
        <f t="shared" si="36"/>
        <v>2017.3333240000138</v>
      </c>
      <c r="D287" s="186">
        <v>42826</v>
      </c>
      <c r="E287" s="207"/>
      <c r="F287" s="208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191">
        <v>128929</v>
      </c>
      <c r="AJ287" s="215">
        <f t="shared" si="40"/>
        <v>134341</v>
      </c>
      <c r="AK287" s="188">
        <f t="shared" si="37"/>
        <v>-5341</v>
      </c>
    </row>
    <row r="288" spans="3:39" x14ac:dyDescent="0.2">
      <c r="C288" s="185">
        <f t="shared" si="36"/>
        <v>2017.4166573000139</v>
      </c>
      <c r="D288" s="186">
        <v>42856</v>
      </c>
      <c r="E288" s="209"/>
      <c r="F288" s="208"/>
      <c r="G288" s="207"/>
      <c r="H288" s="207"/>
      <c r="I288" s="207"/>
      <c r="J288" s="207"/>
      <c r="K288" s="209"/>
      <c r="L288" s="209"/>
      <c r="M288" s="207"/>
      <c r="N288" s="209"/>
      <c r="O288" s="209"/>
      <c r="P288" s="209"/>
      <c r="Q288" s="207"/>
      <c r="R288" s="209"/>
      <c r="S288" s="207"/>
      <c r="T288" s="207"/>
      <c r="U288" s="207"/>
      <c r="V288" s="207"/>
      <c r="W288" s="209"/>
      <c r="X288" s="207"/>
      <c r="Y288" s="207"/>
      <c r="Z288" s="207"/>
      <c r="AA288" s="209"/>
      <c r="AB288" s="207"/>
      <c r="AC288" s="207"/>
      <c r="AD288" s="207"/>
      <c r="AE288" s="207"/>
      <c r="AF288" s="209"/>
      <c r="AG288" s="209"/>
      <c r="AH288" s="207"/>
      <c r="AI288" s="191">
        <v>130741</v>
      </c>
      <c r="AJ288" s="215">
        <f t="shared" si="40"/>
        <v>134341</v>
      </c>
      <c r="AK288" s="188">
        <f t="shared" ref="AK288:AK294" si="41">+AI288-AI287</f>
        <v>1812</v>
      </c>
    </row>
    <row r="289" spans="1:39" x14ac:dyDescent="0.2">
      <c r="C289" s="185">
        <f t="shared" si="36"/>
        <v>2017.4999906000139</v>
      </c>
      <c r="D289" s="186">
        <v>42887</v>
      </c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10"/>
      <c r="AI289" s="191">
        <v>137465</v>
      </c>
      <c r="AJ289" s="215">
        <f t="shared" si="40"/>
        <v>134341</v>
      </c>
      <c r="AK289" s="188">
        <f t="shared" si="41"/>
        <v>6724</v>
      </c>
    </row>
    <row r="290" spans="1:39" x14ac:dyDescent="0.2">
      <c r="C290" s="185">
        <f t="shared" si="36"/>
        <v>2017.583323900014</v>
      </c>
      <c r="D290" s="186">
        <v>42917</v>
      </c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7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191">
        <v>133467</v>
      </c>
      <c r="AJ290" s="215">
        <f t="shared" si="40"/>
        <v>134341</v>
      </c>
      <c r="AK290" s="188">
        <f t="shared" si="41"/>
        <v>-3998</v>
      </c>
    </row>
    <row r="291" spans="1:39" x14ac:dyDescent="0.2">
      <c r="C291" s="185">
        <f t="shared" si="36"/>
        <v>2017.666657200014</v>
      </c>
      <c r="D291" s="186">
        <v>42948</v>
      </c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191">
        <v>145366</v>
      </c>
      <c r="AJ291" s="215">
        <f>+AJ290</f>
        <v>134341</v>
      </c>
      <c r="AK291" s="188">
        <f t="shared" si="41"/>
        <v>11899</v>
      </c>
    </row>
    <row r="292" spans="1:39" x14ac:dyDescent="0.2">
      <c r="C292" s="185">
        <f t="shared" si="36"/>
        <v>2017.7499905000141</v>
      </c>
      <c r="D292" s="186">
        <v>42979</v>
      </c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191">
        <v>123825</v>
      </c>
      <c r="AJ292" s="215">
        <f t="shared" si="40"/>
        <v>134341</v>
      </c>
      <c r="AK292" s="188">
        <f t="shared" si="41"/>
        <v>-21541</v>
      </c>
    </row>
    <row r="293" spans="1:39" x14ac:dyDescent="0.2">
      <c r="C293" s="185">
        <f t="shared" si="36"/>
        <v>2017.8333238000141</v>
      </c>
      <c r="D293" s="186">
        <v>43009</v>
      </c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191">
        <v>131594</v>
      </c>
      <c r="AJ293" s="215">
        <f t="shared" si="40"/>
        <v>134341</v>
      </c>
      <c r="AK293" s="188">
        <f t="shared" si="41"/>
        <v>7769</v>
      </c>
    </row>
    <row r="294" spans="1:39" x14ac:dyDescent="0.2">
      <c r="C294" s="185">
        <f t="shared" si="36"/>
        <v>2017.9166571000142</v>
      </c>
      <c r="D294" s="186">
        <v>43040</v>
      </c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191">
        <v>134376</v>
      </c>
      <c r="AJ294" s="215">
        <f t="shared" si="40"/>
        <v>134341</v>
      </c>
      <c r="AK294" s="188">
        <f t="shared" si="41"/>
        <v>2782</v>
      </c>
    </row>
    <row r="295" spans="1:39" x14ac:dyDescent="0.2">
      <c r="C295" s="185">
        <f t="shared" si="36"/>
        <v>2017.9999904000142</v>
      </c>
      <c r="D295" s="186">
        <v>43070</v>
      </c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191">
        <v>141326</v>
      </c>
      <c r="AJ295" s="215">
        <f t="shared" si="40"/>
        <v>134341</v>
      </c>
      <c r="AK295" s="188">
        <f>+AI295-AI294</f>
        <v>6950</v>
      </c>
    </row>
    <row r="296" spans="1:39" x14ac:dyDescent="0.2">
      <c r="A296" s="216"/>
      <c r="B296" s="216"/>
      <c r="C296" s="217">
        <f t="shared" si="36"/>
        <v>2018.0833237000143</v>
      </c>
      <c r="D296" s="218">
        <v>43101</v>
      </c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20">
        <v>138374</v>
      </c>
      <c r="AJ296" s="221">
        <v>132205</v>
      </c>
      <c r="AK296" s="222">
        <f t="shared" ref="AK296:AK302" si="42">+AI296-AI295</f>
        <v>-2952</v>
      </c>
    </row>
    <row r="297" spans="1:39" x14ac:dyDescent="0.2">
      <c r="A297" s="216"/>
      <c r="B297" s="216"/>
      <c r="C297" s="217">
        <f t="shared" si="36"/>
        <v>2018.1666570000143</v>
      </c>
      <c r="D297" s="218">
        <v>43132</v>
      </c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20">
        <v>101698</v>
      </c>
      <c r="AJ297" s="221">
        <f t="shared" ref="AJ297:AJ303" si="43">+AJ296</f>
        <v>132205</v>
      </c>
      <c r="AK297" s="222">
        <f t="shared" si="42"/>
        <v>-36676</v>
      </c>
    </row>
    <row r="298" spans="1:39" x14ac:dyDescent="0.2">
      <c r="A298" s="216"/>
      <c r="B298" s="216"/>
      <c r="C298" s="217">
        <f t="shared" si="36"/>
        <v>2018.2499903000144</v>
      </c>
      <c r="D298" s="218">
        <v>43160</v>
      </c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20">
        <v>142289</v>
      </c>
      <c r="AJ298" s="221">
        <f t="shared" si="43"/>
        <v>132205</v>
      </c>
      <c r="AK298" s="222">
        <f t="shared" si="42"/>
        <v>40591</v>
      </c>
    </row>
    <row r="299" spans="1:39" x14ac:dyDescent="0.2">
      <c r="A299" s="216"/>
      <c r="B299" s="216"/>
      <c r="C299" s="217">
        <f t="shared" si="36"/>
        <v>2018.3333236000144</v>
      </c>
      <c r="D299" s="218">
        <v>43191</v>
      </c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20">
        <v>144501</v>
      </c>
      <c r="AJ299" s="221">
        <f t="shared" si="43"/>
        <v>132205</v>
      </c>
      <c r="AK299" s="222">
        <f t="shared" si="42"/>
        <v>2212</v>
      </c>
    </row>
    <row r="300" spans="1:39" x14ac:dyDescent="0.2">
      <c r="A300" s="216"/>
      <c r="B300" s="216"/>
      <c r="C300" s="217">
        <f t="shared" si="36"/>
        <v>2018.4166569000145</v>
      </c>
      <c r="D300" s="218">
        <v>43221</v>
      </c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20">
        <v>146765</v>
      </c>
      <c r="AJ300" s="221">
        <f t="shared" si="43"/>
        <v>132205</v>
      </c>
      <c r="AK300" s="222">
        <f t="shared" si="42"/>
        <v>2264</v>
      </c>
    </row>
    <row r="301" spans="1:39" x14ac:dyDescent="0.2">
      <c r="A301" s="216"/>
      <c r="B301" s="216"/>
      <c r="C301" s="217">
        <f t="shared" ref="C301:C307" si="44">+C300+0.0833333</f>
        <v>2018.4999902000145</v>
      </c>
      <c r="D301" s="218">
        <v>43252</v>
      </c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20">
        <v>137474</v>
      </c>
      <c r="AJ301" s="221">
        <f t="shared" si="43"/>
        <v>132205</v>
      </c>
      <c r="AK301" s="222">
        <f t="shared" si="42"/>
        <v>-9291</v>
      </c>
      <c r="AM301" s="104"/>
    </row>
    <row r="302" spans="1:39" x14ac:dyDescent="0.2">
      <c r="A302" s="216"/>
      <c r="B302" s="216"/>
      <c r="C302" s="217">
        <f t="shared" si="44"/>
        <v>2018.5833235000146</v>
      </c>
      <c r="D302" s="218">
        <v>43282</v>
      </c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20">
        <v>124379</v>
      </c>
      <c r="AJ302" s="221">
        <f t="shared" si="43"/>
        <v>132205</v>
      </c>
      <c r="AK302" s="222">
        <f t="shared" si="42"/>
        <v>-13095</v>
      </c>
    </row>
    <row r="303" spans="1:39" x14ac:dyDescent="0.2">
      <c r="A303" s="216"/>
      <c r="B303" s="216"/>
      <c r="C303" s="217">
        <f t="shared" si="44"/>
        <v>2018.6666568000146</v>
      </c>
      <c r="D303" s="218">
        <v>43313</v>
      </c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23">
        <v>108172</v>
      </c>
      <c r="AJ303" s="224">
        <f t="shared" si="43"/>
        <v>132205</v>
      </c>
      <c r="AK303" s="222">
        <f t="shared" ref="AK303:AK309" si="45">+AI303-AI302</f>
        <v>-16207</v>
      </c>
    </row>
    <row r="304" spans="1:39" x14ac:dyDescent="0.2">
      <c r="A304" s="216"/>
      <c r="B304" s="216"/>
      <c r="C304" s="217">
        <f t="shared" si="44"/>
        <v>2018.7499901000147</v>
      </c>
      <c r="D304" s="218">
        <v>43344</v>
      </c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20">
        <v>144198</v>
      </c>
      <c r="AJ304" s="221">
        <f>+AJ303</f>
        <v>132205</v>
      </c>
      <c r="AK304" s="222">
        <f t="shared" si="45"/>
        <v>36026</v>
      </c>
    </row>
    <row r="305" spans="3:39" x14ac:dyDescent="0.2">
      <c r="C305" s="217">
        <f t="shared" si="44"/>
        <v>2018.8333234000147</v>
      </c>
      <c r="D305" s="218">
        <v>43374</v>
      </c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20">
        <v>138963</v>
      </c>
      <c r="AJ305" s="221">
        <f>+AJ304</f>
        <v>132205</v>
      </c>
      <c r="AK305" s="222">
        <f t="shared" si="45"/>
        <v>-5235</v>
      </c>
    </row>
    <row r="306" spans="3:39" x14ac:dyDescent="0.2">
      <c r="C306" s="217">
        <f t="shared" si="44"/>
        <v>2018.9166567000148</v>
      </c>
      <c r="D306" s="218">
        <v>43405</v>
      </c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20">
        <v>142919</v>
      </c>
      <c r="AJ306" s="221">
        <f>+AJ305</f>
        <v>132205</v>
      </c>
      <c r="AK306" s="222">
        <f t="shared" si="45"/>
        <v>3956</v>
      </c>
    </row>
    <row r="307" spans="3:39" x14ac:dyDescent="0.2">
      <c r="C307" s="217">
        <f t="shared" si="44"/>
        <v>2018.9999900000148</v>
      </c>
      <c r="D307" s="218">
        <v>43435</v>
      </c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20">
        <v>140277</v>
      </c>
      <c r="AJ307" s="221">
        <f>+AJ306</f>
        <v>132205</v>
      </c>
      <c r="AK307" s="222">
        <f t="shared" si="45"/>
        <v>-2642</v>
      </c>
    </row>
    <row r="308" spans="3:39" x14ac:dyDescent="0.2">
      <c r="C308" s="226">
        <f t="shared" ref="C308:C313" si="46">+C307+0.0833333</f>
        <v>2019.0833233000149</v>
      </c>
      <c r="D308" s="227">
        <v>43466</v>
      </c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9">
        <v>131290</v>
      </c>
      <c r="AJ308" s="230">
        <v>139721</v>
      </c>
      <c r="AK308" s="231">
        <f t="shared" si="45"/>
        <v>-8987</v>
      </c>
    </row>
    <row r="309" spans="3:39" x14ac:dyDescent="0.2">
      <c r="C309" s="226">
        <f t="shared" si="46"/>
        <v>2019.1666566000149</v>
      </c>
      <c r="D309" s="227">
        <v>43497</v>
      </c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9">
        <v>142489</v>
      </c>
      <c r="AJ309" s="230">
        <v>139721</v>
      </c>
      <c r="AK309" s="231">
        <f t="shared" si="45"/>
        <v>11199</v>
      </c>
    </row>
    <row r="310" spans="3:39" x14ac:dyDescent="0.2">
      <c r="C310" s="226">
        <f t="shared" si="46"/>
        <v>2019.249989900015</v>
      </c>
      <c r="D310" s="227">
        <v>43525</v>
      </c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9">
        <v>140094</v>
      </c>
      <c r="AJ310" s="230">
        <v>139721</v>
      </c>
      <c r="AK310" s="231">
        <f t="shared" ref="AK310:AK315" si="47">+AI310-AI309</f>
        <v>-2395</v>
      </c>
    </row>
    <row r="311" spans="3:39" x14ac:dyDescent="0.2">
      <c r="C311" s="226">
        <f t="shared" si="46"/>
        <v>2019.333323200015</v>
      </c>
      <c r="D311" s="227">
        <v>43556</v>
      </c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9">
        <v>129871</v>
      </c>
      <c r="AJ311" s="230">
        <v>139721</v>
      </c>
      <c r="AK311" s="231">
        <f t="shared" si="47"/>
        <v>-10223</v>
      </c>
      <c r="AM311" s="104"/>
    </row>
    <row r="312" spans="3:39" x14ac:dyDescent="0.2">
      <c r="C312" s="226">
        <f t="shared" si="46"/>
        <v>2019.4166565000151</v>
      </c>
      <c r="D312" s="227">
        <v>43586</v>
      </c>
      <c r="AI312" s="229">
        <v>136208</v>
      </c>
      <c r="AJ312" s="230">
        <v>139721</v>
      </c>
      <c r="AK312" s="231">
        <f t="shared" si="47"/>
        <v>6337</v>
      </c>
    </row>
    <row r="313" spans="3:39" x14ac:dyDescent="0.2">
      <c r="C313" s="226">
        <f t="shared" si="46"/>
        <v>2019.4999898000151</v>
      </c>
      <c r="D313" s="227">
        <v>43617</v>
      </c>
      <c r="AI313" s="229">
        <v>136972</v>
      </c>
      <c r="AJ313" s="230">
        <v>139721</v>
      </c>
      <c r="AK313" s="231">
        <f t="shared" si="47"/>
        <v>764</v>
      </c>
    </row>
    <row r="314" spans="3:39" x14ac:dyDescent="0.2">
      <c r="C314" s="226">
        <f t="shared" ref="C314:C327" si="48">+C313+0.0833333</f>
        <v>2019.5833231000151</v>
      </c>
      <c r="D314" s="227">
        <v>43647</v>
      </c>
      <c r="AI314" s="229">
        <v>132067</v>
      </c>
      <c r="AJ314" s="230">
        <v>139721</v>
      </c>
      <c r="AK314" s="231">
        <f t="shared" si="47"/>
        <v>-4905</v>
      </c>
    </row>
    <row r="315" spans="3:39" x14ac:dyDescent="0.2">
      <c r="C315" s="226">
        <f t="shared" si="48"/>
        <v>2019.6666564000152</v>
      </c>
      <c r="D315" s="227">
        <v>43678</v>
      </c>
      <c r="AI315" s="229">
        <v>142623</v>
      </c>
      <c r="AJ315" s="230">
        <v>139721</v>
      </c>
      <c r="AK315" s="231">
        <f t="shared" si="47"/>
        <v>10556</v>
      </c>
    </row>
    <row r="316" spans="3:39" x14ac:dyDescent="0.2">
      <c r="C316" s="226">
        <f t="shared" si="48"/>
        <v>2019.7499897000152</v>
      </c>
      <c r="D316" s="227">
        <v>43709</v>
      </c>
      <c r="AI316" s="229">
        <v>149391</v>
      </c>
      <c r="AJ316" s="230">
        <v>139721</v>
      </c>
      <c r="AK316" s="231">
        <f t="shared" ref="AK316:AK321" si="49">+AI316-AI315</f>
        <v>6768</v>
      </c>
    </row>
    <row r="317" spans="3:39" x14ac:dyDescent="0.2">
      <c r="C317" s="226">
        <f t="shared" si="48"/>
        <v>2019.8333230000153</v>
      </c>
      <c r="D317" s="227">
        <v>43739</v>
      </c>
      <c r="AI317" s="229">
        <v>138069</v>
      </c>
      <c r="AJ317" s="230">
        <v>139721</v>
      </c>
      <c r="AK317" s="231">
        <f t="shared" si="49"/>
        <v>-11322</v>
      </c>
    </row>
    <row r="318" spans="3:39" x14ac:dyDescent="0.2">
      <c r="C318" s="226">
        <f t="shared" si="48"/>
        <v>2019.9166563000153</v>
      </c>
      <c r="D318" s="227">
        <v>43770</v>
      </c>
      <c r="AI318" s="229">
        <v>152710</v>
      </c>
      <c r="AJ318" s="230">
        <v>139721</v>
      </c>
      <c r="AK318" s="231">
        <f t="shared" si="49"/>
        <v>14641</v>
      </c>
    </row>
    <row r="319" spans="3:39" x14ac:dyDescent="0.2">
      <c r="C319" s="226">
        <f t="shared" si="48"/>
        <v>2019.9999896000154</v>
      </c>
      <c r="D319" s="227">
        <v>43800</v>
      </c>
      <c r="AI319" s="229">
        <v>145463</v>
      </c>
      <c r="AJ319" s="230">
        <v>139721</v>
      </c>
      <c r="AK319" s="231">
        <f t="shared" si="49"/>
        <v>-7247</v>
      </c>
      <c r="AM319" s="104"/>
    </row>
    <row r="320" spans="3:39" x14ac:dyDescent="0.2">
      <c r="C320" s="202">
        <f t="shared" si="48"/>
        <v>2020.0833229000154</v>
      </c>
      <c r="D320" s="236">
        <v>43831</v>
      </c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237">
        <v>146235</v>
      </c>
      <c r="AJ320" s="99">
        <v>124622</v>
      </c>
      <c r="AK320" s="238">
        <f t="shared" si="49"/>
        <v>772</v>
      </c>
    </row>
    <row r="321" spans="3:38" x14ac:dyDescent="0.2">
      <c r="C321" s="202">
        <f t="shared" si="48"/>
        <v>2020.1666562000155</v>
      </c>
      <c r="D321" s="236">
        <v>43862</v>
      </c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237">
        <v>151488</v>
      </c>
      <c r="AJ321" s="99">
        <v>124622</v>
      </c>
      <c r="AK321" s="238">
        <f t="shared" si="49"/>
        <v>5253</v>
      </c>
    </row>
    <row r="322" spans="3:38" x14ac:dyDescent="0.2">
      <c r="C322" s="202">
        <f t="shared" si="48"/>
        <v>2020.2499895000155</v>
      </c>
      <c r="D322" s="236">
        <v>43891</v>
      </c>
      <c r="AI322" s="237">
        <v>122861</v>
      </c>
      <c r="AJ322" s="99">
        <v>124622</v>
      </c>
      <c r="AK322" s="238">
        <f t="shared" ref="AK322:AK327" si="50">+AI322-AI321</f>
        <v>-28627</v>
      </c>
    </row>
    <row r="323" spans="3:38" x14ac:dyDescent="0.2">
      <c r="C323" s="202">
        <f t="shared" si="48"/>
        <v>2020.3333228000156</v>
      </c>
      <c r="D323" s="236">
        <v>43922</v>
      </c>
      <c r="AI323" s="237">
        <v>119608</v>
      </c>
      <c r="AJ323" s="99">
        <v>124622</v>
      </c>
      <c r="AK323" s="238">
        <f t="shared" si="50"/>
        <v>-3253</v>
      </c>
    </row>
    <row r="324" spans="3:38" x14ac:dyDescent="0.2">
      <c r="C324" s="202">
        <f t="shared" si="48"/>
        <v>2020.4166561000156</v>
      </c>
      <c r="D324" s="236">
        <v>43952</v>
      </c>
      <c r="AI324" s="237">
        <v>110530</v>
      </c>
      <c r="AJ324" s="99">
        <v>124622</v>
      </c>
      <c r="AK324" s="238">
        <f t="shared" si="50"/>
        <v>-9078</v>
      </c>
      <c r="AL324" s="104"/>
    </row>
    <row r="325" spans="3:38" x14ac:dyDescent="0.2">
      <c r="C325" s="202">
        <f t="shared" si="48"/>
        <v>2020.4999894000157</v>
      </c>
      <c r="D325" s="236">
        <v>43983</v>
      </c>
      <c r="AI325" s="237">
        <v>114077</v>
      </c>
      <c r="AJ325" s="99">
        <v>124622</v>
      </c>
      <c r="AK325" s="238">
        <f t="shared" si="50"/>
        <v>3547</v>
      </c>
    </row>
    <row r="326" spans="3:38" x14ac:dyDescent="0.2">
      <c r="C326" s="202">
        <f t="shared" si="48"/>
        <v>2020.5833227000157</v>
      </c>
      <c r="D326" s="236">
        <v>44013</v>
      </c>
      <c r="AI326" s="237">
        <v>123381</v>
      </c>
      <c r="AJ326" s="99">
        <v>124622</v>
      </c>
      <c r="AK326" s="238">
        <f t="shared" si="50"/>
        <v>9304</v>
      </c>
    </row>
    <row r="327" spans="3:38" x14ac:dyDescent="0.2">
      <c r="C327" s="202">
        <f t="shared" si="48"/>
        <v>2020.6666560000158</v>
      </c>
      <c r="D327" s="236">
        <v>44044</v>
      </c>
      <c r="AI327" s="237">
        <v>119820</v>
      </c>
      <c r="AJ327" s="99">
        <v>124622</v>
      </c>
      <c r="AK327" s="238">
        <f t="shared" si="50"/>
        <v>-3561</v>
      </c>
    </row>
    <row r="328" spans="3:38" x14ac:dyDescent="0.2">
      <c r="C328" s="202">
        <f>+C327+0.0833333</f>
        <v>2020.7499893000158</v>
      </c>
      <c r="D328" s="236">
        <v>44075</v>
      </c>
      <c r="E328" s="236">
        <v>44075</v>
      </c>
      <c r="F328" s="236">
        <v>44075</v>
      </c>
      <c r="G328" s="236">
        <v>44075</v>
      </c>
      <c r="H328" s="236">
        <v>44075</v>
      </c>
      <c r="I328" s="236">
        <v>44075</v>
      </c>
      <c r="J328" s="236">
        <v>44075</v>
      </c>
      <c r="K328" s="236">
        <v>44075</v>
      </c>
      <c r="L328" s="236">
        <v>44075</v>
      </c>
      <c r="M328" s="236">
        <v>44075</v>
      </c>
      <c r="N328" s="236">
        <v>44075</v>
      </c>
      <c r="O328" s="236">
        <v>44075</v>
      </c>
      <c r="P328" s="236">
        <v>44075</v>
      </c>
      <c r="Q328" s="236">
        <v>44075</v>
      </c>
      <c r="R328" s="236">
        <v>44075</v>
      </c>
      <c r="S328" s="236">
        <v>44075</v>
      </c>
      <c r="T328" s="236">
        <v>44075</v>
      </c>
      <c r="U328" s="236">
        <v>44075</v>
      </c>
      <c r="V328" s="236">
        <v>44075</v>
      </c>
      <c r="W328" s="236">
        <v>44075</v>
      </c>
      <c r="X328" s="236">
        <v>44075</v>
      </c>
      <c r="Y328" s="236">
        <v>44075</v>
      </c>
      <c r="Z328" s="236">
        <v>44075</v>
      </c>
      <c r="AA328" s="236">
        <v>44075</v>
      </c>
      <c r="AB328" s="236">
        <v>44075</v>
      </c>
      <c r="AC328" s="236">
        <v>44075</v>
      </c>
      <c r="AD328" s="236">
        <v>44075</v>
      </c>
      <c r="AE328" s="236">
        <v>44075</v>
      </c>
      <c r="AI328" s="237">
        <v>120007</v>
      </c>
      <c r="AJ328" s="99">
        <v>124622</v>
      </c>
      <c r="AK328" s="238">
        <f t="shared" ref="AK328:AK331" si="51">+AI328-AI327</f>
        <v>187</v>
      </c>
    </row>
    <row r="329" spans="3:38" x14ac:dyDescent="0.2">
      <c r="C329" s="202">
        <f>+C328+0.0833333</f>
        <v>2020.8333226000159</v>
      </c>
      <c r="D329" s="236">
        <v>44105</v>
      </c>
      <c r="E329" s="236">
        <v>44105</v>
      </c>
      <c r="F329" s="236">
        <v>44105</v>
      </c>
      <c r="G329" s="236">
        <v>44105</v>
      </c>
      <c r="H329" s="236">
        <v>44105</v>
      </c>
      <c r="I329" s="236">
        <v>44105</v>
      </c>
      <c r="J329" s="236">
        <v>44105</v>
      </c>
      <c r="K329" s="236">
        <v>44105</v>
      </c>
      <c r="L329" s="236">
        <v>44105</v>
      </c>
      <c r="M329" s="236">
        <v>44105</v>
      </c>
      <c r="N329" s="236">
        <v>44105</v>
      </c>
      <c r="O329" s="236">
        <v>44105</v>
      </c>
      <c r="P329" s="236">
        <v>44105</v>
      </c>
      <c r="Q329" s="236">
        <v>44105</v>
      </c>
      <c r="R329" s="236">
        <v>44105</v>
      </c>
      <c r="S329" s="236">
        <v>44105</v>
      </c>
      <c r="T329" s="236">
        <v>44105</v>
      </c>
      <c r="U329" s="236">
        <v>44105</v>
      </c>
      <c r="V329" s="236">
        <v>44105</v>
      </c>
      <c r="W329" s="236">
        <v>44105</v>
      </c>
      <c r="X329" s="236">
        <v>44105</v>
      </c>
      <c r="Y329" s="236">
        <v>44105</v>
      </c>
      <c r="Z329" s="236">
        <v>44105</v>
      </c>
      <c r="AA329" s="236">
        <v>44105</v>
      </c>
      <c r="AB329" s="236">
        <v>44105</v>
      </c>
      <c r="AC329" s="236">
        <v>44105</v>
      </c>
      <c r="AD329" s="236">
        <v>44105</v>
      </c>
      <c r="AE329" s="236">
        <v>44105</v>
      </c>
      <c r="AI329" s="237">
        <v>122003</v>
      </c>
      <c r="AJ329" s="99">
        <v>124622</v>
      </c>
      <c r="AK329" s="238">
        <f t="shared" si="51"/>
        <v>1996</v>
      </c>
    </row>
    <row r="330" spans="3:38" x14ac:dyDescent="0.2">
      <c r="C330" s="202">
        <f>+C329+0.0833333</f>
        <v>2020.9166559000159</v>
      </c>
      <c r="D330" s="236">
        <v>44136</v>
      </c>
      <c r="E330" s="236">
        <v>44136</v>
      </c>
      <c r="F330" s="236">
        <v>44136</v>
      </c>
      <c r="G330" s="236">
        <v>44136</v>
      </c>
      <c r="H330" s="236">
        <v>44136</v>
      </c>
      <c r="I330" s="236">
        <v>44136</v>
      </c>
      <c r="J330" s="236">
        <v>44136</v>
      </c>
      <c r="K330" s="236">
        <v>44136</v>
      </c>
      <c r="L330" s="236">
        <v>44136</v>
      </c>
      <c r="M330" s="236">
        <v>44136</v>
      </c>
      <c r="N330" s="236">
        <v>44136</v>
      </c>
      <c r="O330" s="236">
        <v>44136</v>
      </c>
      <c r="P330" s="236">
        <v>44136</v>
      </c>
      <c r="Q330" s="236">
        <v>44136</v>
      </c>
      <c r="R330" s="236">
        <v>44136</v>
      </c>
      <c r="S330" s="236">
        <v>44136</v>
      </c>
      <c r="T330" s="236">
        <v>44136</v>
      </c>
      <c r="U330" s="236">
        <v>44136</v>
      </c>
      <c r="V330" s="236">
        <v>44136</v>
      </c>
      <c r="W330" s="236">
        <v>44136</v>
      </c>
      <c r="X330" s="236">
        <v>44136</v>
      </c>
      <c r="Y330" s="236">
        <v>44136</v>
      </c>
      <c r="Z330" s="236">
        <v>44136</v>
      </c>
      <c r="AA330" s="236">
        <v>44136</v>
      </c>
      <c r="AB330" s="236">
        <v>44136</v>
      </c>
      <c r="AC330" s="236">
        <v>44136</v>
      </c>
      <c r="AD330" s="236">
        <v>44136</v>
      </c>
      <c r="AE330" s="236">
        <v>44136</v>
      </c>
      <c r="AI330" s="237">
        <v>123907</v>
      </c>
      <c r="AJ330" s="99">
        <v>124622</v>
      </c>
      <c r="AK330" s="238">
        <f t="shared" si="51"/>
        <v>1904</v>
      </c>
    </row>
    <row r="331" spans="3:38" x14ac:dyDescent="0.2">
      <c r="C331" s="202">
        <f>+C330+0.0833333</f>
        <v>2020.999989200016</v>
      </c>
      <c r="D331" s="236">
        <v>44166</v>
      </c>
      <c r="E331" s="236">
        <v>44166</v>
      </c>
      <c r="F331" s="236">
        <v>44166</v>
      </c>
      <c r="G331" s="236">
        <v>44166</v>
      </c>
      <c r="H331" s="236">
        <v>44166</v>
      </c>
      <c r="I331" s="236">
        <v>44166</v>
      </c>
      <c r="J331" s="236">
        <v>44166</v>
      </c>
      <c r="K331" s="236">
        <v>44166</v>
      </c>
      <c r="L331" s="236">
        <v>44166</v>
      </c>
      <c r="M331" s="236">
        <v>44166</v>
      </c>
      <c r="N331" s="236">
        <v>44166</v>
      </c>
      <c r="O331" s="236">
        <v>44166</v>
      </c>
      <c r="P331" s="236">
        <v>44166</v>
      </c>
      <c r="Q331" s="236">
        <v>44166</v>
      </c>
      <c r="R331" s="236">
        <v>44166</v>
      </c>
      <c r="S331" s="236">
        <v>44166</v>
      </c>
      <c r="T331" s="236">
        <v>44166</v>
      </c>
      <c r="U331" s="236">
        <v>44166</v>
      </c>
      <c r="V331" s="236">
        <v>44166</v>
      </c>
      <c r="W331" s="236">
        <v>44166</v>
      </c>
      <c r="X331" s="236">
        <v>44166</v>
      </c>
      <c r="Y331" s="236">
        <v>44166</v>
      </c>
      <c r="Z331" s="236">
        <v>44166</v>
      </c>
      <c r="AA331" s="236">
        <v>44166</v>
      </c>
      <c r="AB331" s="236">
        <v>44166</v>
      </c>
      <c r="AC331" s="236">
        <v>44166</v>
      </c>
      <c r="AD331" s="236">
        <v>44166</v>
      </c>
      <c r="AE331" s="236">
        <v>44166</v>
      </c>
      <c r="AI331" s="237">
        <v>122604</v>
      </c>
      <c r="AJ331" s="99">
        <v>124622</v>
      </c>
      <c r="AK331" s="238">
        <f t="shared" si="51"/>
        <v>-1303</v>
      </c>
    </row>
    <row r="332" spans="3:38" x14ac:dyDescent="0.2">
      <c r="C332" s="244">
        <f t="shared" ref="C332:C355" si="52">+C331+0.0833333</f>
        <v>2021.083322500016</v>
      </c>
      <c r="D332" s="241">
        <v>44197</v>
      </c>
      <c r="E332" s="241">
        <v>44197</v>
      </c>
      <c r="F332" s="241">
        <v>44197</v>
      </c>
      <c r="G332" s="241">
        <v>44197</v>
      </c>
      <c r="H332" s="241">
        <v>44197</v>
      </c>
      <c r="I332" s="241">
        <v>44197</v>
      </c>
      <c r="J332" s="241">
        <v>44197</v>
      </c>
      <c r="K332" s="241">
        <v>44197</v>
      </c>
      <c r="L332" s="241">
        <v>44197</v>
      </c>
      <c r="M332" s="241">
        <v>44197</v>
      </c>
      <c r="N332" s="241">
        <v>44197</v>
      </c>
      <c r="O332" s="241">
        <v>44197</v>
      </c>
      <c r="P332" s="241">
        <v>44197</v>
      </c>
      <c r="Q332" s="241">
        <v>44197</v>
      </c>
      <c r="R332" s="241">
        <v>44197</v>
      </c>
      <c r="S332" s="241">
        <v>44197</v>
      </c>
      <c r="T332" s="241">
        <v>44197</v>
      </c>
      <c r="U332" s="241">
        <v>44197</v>
      </c>
      <c r="V332" s="241">
        <v>44197</v>
      </c>
      <c r="W332" s="241">
        <v>44197</v>
      </c>
      <c r="X332" s="241">
        <v>44197</v>
      </c>
      <c r="Y332" s="241">
        <v>44197</v>
      </c>
      <c r="Z332" s="241">
        <v>44197</v>
      </c>
      <c r="AA332" s="241">
        <v>44197</v>
      </c>
      <c r="AB332" s="241">
        <v>44197</v>
      </c>
      <c r="AC332" s="241">
        <v>44197</v>
      </c>
      <c r="AD332" s="241">
        <v>44197</v>
      </c>
      <c r="AE332" s="241">
        <v>44197</v>
      </c>
      <c r="AF332" s="242"/>
      <c r="AG332" s="242"/>
      <c r="AH332" s="242"/>
      <c r="AI332" s="243">
        <v>120525</v>
      </c>
      <c r="AJ332" s="249">
        <v>119508</v>
      </c>
      <c r="AK332" s="247">
        <f>+AI332-AI331</f>
        <v>-2079</v>
      </c>
    </row>
    <row r="333" spans="3:38" x14ac:dyDescent="0.2">
      <c r="C333" s="244">
        <f t="shared" si="52"/>
        <v>2021.1666558000161</v>
      </c>
      <c r="D333" s="241">
        <v>44228</v>
      </c>
      <c r="E333" s="241">
        <v>44228</v>
      </c>
      <c r="F333" s="241">
        <v>44228</v>
      </c>
      <c r="G333" s="241">
        <v>44228</v>
      </c>
      <c r="H333" s="241">
        <v>44228</v>
      </c>
      <c r="I333" s="241">
        <v>44228</v>
      </c>
      <c r="J333" s="241">
        <v>44228</v>
      </c>
      <c r="K333" s="241">
        <v>44228</v>
      </c>
      <c r="L333" s="241">
        <v>44228</v>
      </c>
      <c r="M333" s="241">
        <v>44228</v>
      </c>
      <c r="N333" s="241">
        <v>44228</v>
      </c>
      <c r="O333" s="241">
        <v>44228</v>
      </c>
      <c r="P333" s="241">
        <v>44228</v>
      </c>
      <c r="Q333" s="241">
        <v>44228</v>
      </c>
      <c r="R333" s="241">
        <v>44228</v>
      </c>
      <c r="S333" s="241">
        <v>44228</v>
      </c>
      <c r="T333" s="241">
        <v>44228</v>
      </c>
      <c r="U333" s="241">
        <v>44228</v>
      </c>
      <c r="V333" s="241">
        <v>44228</v>
      </c>
      <c r="W333" s="241">
        <v>44228</v>
      </c>
      <c r="X333" s="241">
        <v>44228</v>
      </c>
      <c r="Y333" s="241">
        <v>44228</v>
      </c>
      <c r="Z333" s="241">
        <v>44228</v>
      </c>
      <c r="AA333" s="241">
        <v>44228</v>
      </c>
      <c r="AB333" s="241">
        <v>44228</v>
      </c>
      <c r="AC333" s="241">
        <v>44228</v>
      </c>
      <c r="AD333" s="241">
        <v>44228</v>
      </c>
      <c r="AE333" s="241">
        <v>44228</v>
      </c>
      <c r="AF333" s="242"/>
      <c r="AG333" s="242"/>
      <c r="AH333" s="242"/>
      <c r="AI333" s="243">
        <v>120467</v>
      </c>
      <c r="AJ333" s="249">
        <f>+AJ332</f>
        <v>119508</v>
      </c>
      <c r="AK333" s="247">
        <f>+AI333-AI332</f>
        <v>-58</v>
      </c>
    </row>
    <row r="334" spans="3:38" x14ac:dyDescent="0.2">
      <c r="C334" s="244">
        <f t="shared" si="52"/>
        <v>2021.2499891000161</v>
      </c>
      <c r="D334" s="241">
        <v>44256</v>
      </c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3">
        <v>101910</v>
      </c>
      <c r="AJ334" s="249">
        <f>+AJ333</f>
        <v>119508</v>
      </c>
      <c r="AK334" s="247">
        <f t="shared" ref="AK334:AK336" si="53">+AI334-AI333</f>
        <v>-18557</v>
      </c>
    </row>
    <row r="335" spans="3:38" x14ac:dyDescent="0.2">
      <c r="C335" s="244">
        <f t="shared" si="52"/>
        <v>2021.3333224000162</v>
      </c>
      <c r="D335" s="241">
        <v>44287</v>
      </c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3">
        <v>104915</v>
      </c>
      <c r="AJ335" s="249">
        <f>+AJ334</f>
        <v>119508</v>
      </c>
      <c r="AK335" s="247">
        <f t="shared" si="53"/>
        <v>3005</v>
      </c>
    </row>
    <row r="336" spans="3:38" x14ac:dyDescent="0.2">
      <c r="C336" s="244">
        <f t="shared" si="52"/>
        <v>2021.4166557000162</v>
      </c>
      <c r="D336" s="241">
        <v>44317</v>
      </c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3">
        <v>121522</v>
      </c>
      <c r="AJ336" s="249">
        <f t="shared" ref="AJ336:AJ341" si="54">+AJ335</f>
        <v>119508</v>
      </c>
      <c r="AK336" s="247">
        <f t="shared" si="53"/>
        <v>16607</v>
      </c>
    </row>
    <row r="337" spans="3:37" x14ac:dyDescent="0.2">
      <c r="C337" s="244">
        <f t="shared" si="52"/>
        <v>2021.4999890000163</v>
      </c>
      <c r="D337" s="241">
        <v>44348</v>
      </c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3">
        <v>121581</v>
      </c>
      <c r="AJ337" s="249">
        <f t="shared" si="54"/>
        <v>119508</v>
      </c>
      <c r="AK337" s="247">
        <f t="shared" ref="AK337:AK341" si="55">+AI337-AI336</f>
        <v>59</v>
      </c>
    </row>
    <row r="338" spans="3:37" x14ac:dyDescent="0.2">
      <c r="C338" s="244">
        <f t="shared" si="52"/>
        <v>2021.5833223000163</v>
      </c>
      <c r="D338" s="241">
        <v>44378</v>
      </c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3">
        <v>118549</v>
      </c>
      <c r="AJ338" s="249">
        <f t="shared" si="54"/>
        <v>119508</v>
      </c>
      <c r="AK338" s="247">
        <f t="shared" si="55"/>
        <v>-3032</v>
      </c>
    </row>
    <row r="339" spans="3:37" x14ac:dyDescent="0.2">
      <c r="C339" s="244">
        <f t="shared" si="52"/>
        <v>2021.6666556000164</v>
      </c>
      <c r="D339" s="241">
        <v>44409</v>
      </c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3">
        <v>121871</v>
      </c>
      <c r="AJ339" s="249">
        <f t="shared" si="54"/>
        <v>119508</v>
      </c>
      <c r="AK339" s="247">
        <f t="shared" si="55"/>
        <v>3322</v>
      </c>
    </row>
    <row r="340" spans="3:37" x14ac:dyDescent="0.2">
      <c r="C340" s="244">
        <f t="shared" si="52"/>
        <v>2021.7499889000164</v>
      </c>
      <c r="D340" s="241">
        <v>44440</v>
      </c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3">
        <v>128286</v>
      </c>
      <c r="AJ340" s="249">
        <f t="shared" si="54"/>
        <v>119508</v>
      </c>
      <c r="AK340" s="247">
        <f t="shared" si="55"/>
        <v>6415</v>
      </c>
    </row>
    <row r="341" spans="3:37" x14ac:dyDescent="0.2">
      <c r="C341" s="244">
        <f t="shared" si="52"/>
        <v>2021.8333222000165</v>
      </c>
      <c r="D341" s="241">
        <v>44470</v>
      </c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3">
        <v>129543</v>
      </c>
      <c r="AJ341" s="249">
        <f t="shared" si="54"/>
        <v>119508</v>
      </c>
      <c r="AK341" s="247">
        <f t="shared" si="55"/>
        <v>1257</v>
      </c>
    </row>
    <row r="342" spans="3:37" x14ac:dyDescent="0.2">
      <c r="C342" s="244">
        <f t="shared" si="52"/>
        <v>2021.9166555000165</v>
      </c>
      <c r="D342" s="241">
        <v>44501</v>
      </c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3">
        <v>122277</v>
      </c>
      <c r="AJ342" s="249">
        <f>+AJ341</f>
        <v>119508</v>
      </c>
      <c r="AK342" s="247">
        <f>+AI342-AI341</f>
        <v>-7266</v>
      </c>
    </row>
    <row r="343" spans="3:37" x14ac:dyDescent="0.2">
      <c r="C343" s="244">
        <f t="shared" si="52"/>
        <v>2021.9999888000166</v>
      </c>
      <c r="D343" s="253">
        <v>44531</v>
      </c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54">
        <v>122709</v>
      </c>
      <c r="AJ343" s="255">
        <f>+AJ342</f>
        <v>119508</v>
      </c>
      <c r="AK343" s="247">
        <f>+AI343-AI342</f>
        <v>432</v>
      </c>
    </row>
    <row r="344" spans="3:37" x14ac:dyDescent="0.2">
      <c r="C344" s="250">
        <f t="shared" si="52"/>
        <v>2022.0833221000166</v>
      </c>
      <c r="D344" s="251">
        <v>44562</v>
      </c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61">
        <v>128239</v>
      </c>
      <c r="AJ344" s="203">
        <v>117204</v>
      </c>
      <c r="AK344" s="252">
        <f>+AI344-AI343</f>
        <v>5530</v>
      </c>
    </row>
    <row r="345" spans="3:37" x14ac:dyDescent="0.2">
      <c r="C345" s="250">
        <f t="shared" si="52"/>
        <v>2022.1666554000167</v>
      </c>
      <c r="D345" s="251">
        <v>44593</v>
      </c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60">
        <v>134308</v>
      </c>
      <c r="AJ345" s="203">
        <f t="shared" ref="AJ345:AJ355" si="56">+AJ344</f>
        <v>117204</v>
      </c>
      <c r="AK345" s="252">
        <f>+AI345-AI344</f>
        <v>6069</v>
      </c>
    </row>
    <row r="346" spans="3:37" x14ac:dyDescent="0.2">
      <c r="C346" s="250">
        <f t="shared" si="52"/>
        <v>2022.2499887000167</v>
      </c>
      <c r="D346" s="251">
        <v>44621</v>
      </c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60">
        <v>113500</v>
      </c>
      <c r="AJ346" s="203">
        <f t="shared" si="56"/>
        <v>117204</v>
      </c>
      <c r="AK346" s="252">
        <f t="shared" ref="AK346:AK355" si="57">+AI346-AI345</f>
        <v>-20808</v>
      </c>
    </row>
    <row r="347" spans="3:37" x14ac:dyDescent="0.2">
      <c r="C347" s="250">
        <f t="shared" si="52"/>
        <v>2022.3333220000168</v>
      </c>
      <c r="D347" s="251">
        <v>44652</v>
      </c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60">
        <v>125549</v>
      </c>
      <c r="AJ347" s="203">
        <f t="shared" si="56"/>
        <v>117204</v>
      </c>
      <c r="AK347" s="252">
        <f t="shared" si="57"/>
        <v>12049</v>
      </c>
    </row>
    <row r="348" spans="3:37" x14ac:dyDescent="0.2">
      <c r="C348" s="250">
        <f t="shared" si="52"/>
        <v>2022.4166553000168</v>
      </c>
      <c r="D348" s="251">
        <v>44682</v>
      </c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60">
        <v>128498</v>
      </c>
      <c r="AJ348" s="203">
        <f t="shared" si="56"/>
        <v>117204</v>
      </c>
      <c r="AK348" s="252">
        <f t="shared" si="57"/>
        <v>2949</v>
      </c>
    </row>
    <row r="349" spans="3:37" x14ac:dyDescent="0.2">
      <c r="C349" s="250">
        <f t="shared" si="52"/>
        <v>2022.4999886000169</v>
      </c>
      <c r="D349" s="251">
        <v>44713</v>
      </c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  <c r="AH349" s="256"/>
      <c r="AI349" s="260">
        <v>129215</v>
      </c>
      <c r="AJ349" s="203">
        <f t="shared" si="56"/>
        <v>117204</v>
      </c>
      <c r="AK349" s="252">
        <f t="shared" si="57"/>
        <v>717</v>
      </c>
    </row>
    <row r="350" spans="3:37" x14ac:dyDescent="0.2">
      <c r="C350" s="250">
        <f t="shared" si="52"/>
        <v>2022.5833219000169</v>
      </c>
      <c r="D350" s="251">
        <v>44743</v>
      </c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60">
        <v>107011</v>
      </c>
      <c r="AJ350" s="203">
        <f t="shared" si="56"/>
        <v>117204</v>
      </c>
      <c r="AK350" s="252">
        <f t="shared" si="57"/>
        <v>-22204</v>
      </c>
    </row>
    <row r="351" spans="3:37" x14ac:dyDescent="0.2">
      <c r="C351" s="250">
        <f t="shared" si="52"/>
        <v>2022.666655200017</v>
      </c>
      <c r="D351" s="251">
        <v>44774</v>
      </c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60">
        <v>95166</v>
      </c>
      <c r="AJ351" s="203">
        <f t="shared" si="56"/>
        <v>117204</v>
      </c>
      <c r="AK351" s="252">
        <f>+AI351-AI350</f>
        <v>-11845</v>
      </c>
    </row>
    <row r="352" spans="3:37" x14ac:dyDescent="0.2">
      <c r="C352" s="250">
        <f t="shared" si="52"/>
        <v>2022.749988500017</v>
      </c>
      <c r="D352" s="251">
        <v>44805</v>
      </c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60">
        <v>101716</v>
      </c>
      <c r="AJ352" s="203">
        <f t="shared" si="56"/>
        <v>117204</v>
      </c>
      <c r="AK352" s="252">
        <f t="shared" si="57"/>
        <v>6550</v>
      </c>
    </row>
    <row r="353" spans="3:37" x14ac:dyDescent="0.2">
      <c r="C353" s="250">
        <f t="shared" si="52"/>
        <v>2022.8333218000171</v>
      </c>
      <c r="D353" s="251">
        <v>44835</v>
      </c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60">
        <v>108762</v>
      </c>
      <c r="AJ353" s="203">
        <f t="shared" si="56"/>
        <v>117204</v>
      </c>
      <c r="AK353" s="252">
        <f t="shared" si="57"/>
        <v>7046</v>
      </c>
    </row>
    <row r="354" spans="3:37" x14ac:dyDescent="0.2">
      <c r="C354" s="250">
        <f t="shared" si="52"/>
        <v>2022.9166551000171</v>
      </c>
      <c r="D354" s="251">
        <v>44866</v>
      </c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60">
        <v>116146</v>
      </c>
      <c r="AJ354" s="203">
        <f t="shared" si="56"/>
        <v>117204</v>
      </c>
      <c r="AK354" s="252">
        <f t="shared" si="57"/>
        <v>7384</v>
      </c>
    </row>
    <row r="355" spans="3:37" x14ac:dyDescent="0.2">
      <c r="C355" s="250">
        <f t="shared" si="52"/>
        <v>2022.9999884000172</v>
      </c>
      <c r="D355" s="251">
        <v>44896</v>
      </c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  <c r="AE355" s="256"/>
      <c r="AF355" s="256"/>
      <c r="AG355" s="256"/>
      <c r="AH355" s="256"/>
      <c r="AI355" s="260">
        <v>120122</v>
      </c>
      <c r="AJ355" s="203">
        <f t="shared" si="56"/>
        <v>117204</v>
      </c>
      <c r="AK355" s="252">
        <f t="shared" si="57"/>
        <v>3976</v>
      </c>
    </row>
  </sheetData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J497"/>
  <sheetViews>
    <sheetView workbookViewId="0">
      <pane xSplit="3" ySplit="4" topLeftCell="D340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O352" sqref="O352"/>
    </sheetView>
  </sheetViews>
  <sheetFormatPr baseColWidth="10" defaultRowHeight="12.75" x14ac:dyDescent="0.2"/>
  <cols>
    <col min="1" max="1" width="2.140625" customWidth="1"/>
    <col min="2" max="2" width="8.42578125" style="5" customWidth="1"/>
    <col min="4" max="4" width="11.28515625" style="29" hidden="1" customWidth="1"/>
    <col min="5" max="5" width="14.7109375" style="8" hidden="1" customWidth="1"/>
    <col min="6" max="6" width="9.140625" style="8" hidden="1" customWidth="1"/>
    <col min="7" max="7" width="11.5703125" hidden="1" customWidth="1"/>
    <col min="8" max="8" width="12.28515625" hidden="1" customWidth="1"/>
    <col min="9" max="9" width="14.85546875" hidden="1" customWidth="1"/>
    <col min="10" max="10" width="14.42578125" hidden="1" customWidth="1"/>
    <col min="11" max="12" width="15" hidden="1" customWidth="1"/>
    <col min="13" max="13" width="10.42578125" hidden="1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">
        <v>1994</v>
      </c>
      <c r="C4" s="46" t="s">
        <v>1</v>
      </c>
      <c r="D4" s="46" t="s">
        <v>38</v>
      </c>
      <c r="E4" s="49" t="s">
        <v>54</v>
      </c>
      <c r="F4" s="49" t="s">
        <v>34</v>
      </c>
      <c r="G4" s="46" t="s">
        <v>9</v>
      </c>
      <c r="H4" s="46" t="s">
        <v>58</v>
      </c>
      <c r="I4" s="46" t="s">
        <v>60</v>
      </c>
      <c r="J4" s="46" t="s">
        <v>56</v>
      </c>
      <c r="K4" s="46" t="s">
        <v>53</v>
      </c>
      <c r="L4" s="49" t="s">
        <v>63</v>
      </c>
      <c r="M4" s="46" t="s">
        <v>59</v>
      </c>
      <c r="N4" s="46" t="s">
        <v>36</v>
      </c>
      <c r="O4" s="50" t="s">
        <v>35</v>
      </c>
    </row>
    <row r="5" spans="2:36" x14ac:dyDescent="0.2">
      <c r="B5" s="64">
        <v>1994</v>
      </c>
      <c r="C5" s="47">
        <v>34335</v>
      </c>
      <c r="D5" s="30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</row>
    <row r="6" spans="2:36" x14ac:dyDescent="0.2">
      <c r="B6" s="64">
        <v>1994</v>
      </c>
      <c r="C6" s="48">
        <v>34366</v>
      </c>
      <c r="D6" s="32"/>
      <c r="E6" s="33"/>
      <c r="F6" s="33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64">
        <v>1994</v>
      </c>
      <c r="C7" s="47">
        <v>34394</v>
      </c>
      <c r="D7" s="32"/>
      <c r="E7" s="33"/>
      <c r="F7" s="33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64">
        <v>1994</v>
      </c>
      <c r="C8" s="48">
        <v>34425</v>
      </c>
      <c r="D8" s="32"/>
      <c r="E8" s="33"/>
      <c r="F8" s="33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64">
        <v>1994</v>
      </c>
      <c r="C9" s="47">
        <v>34455</v>
      </c>
      <c r="D9" s="32"/>
      <c r="E9" s="33"/>
      <c r="F9" s="33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64">
        <v>1994</v>
      </c>
      <c r="C10" s="48">
        <v>34486</v>
      </c>
      <c r="D10" s="32"/>
      <c r="E10" s="33"/>
      <c r="F10" s="33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64">
        <v>1994</v>
      </c>
      <c r="C11" s="47">
        <v>34516</v>
      </c>
      <c r="D11" s="32"/>
      <c r="E11" s="33"/>
      <c r="F11" s="33"/>
      <c r="G11" s="2"/>
      <c r="H11" s="2"/>
      <c r="I11" s="2"/>
      <c r="J11" s="2"/>
      <c r="K11" s="2"/>
      <c r="L11" s="2"/>
      <c r="M11" s="2"/>
      <c r="N11" s="2"/>
      <c r="O11" s="2"/>
      <c r="AF11" s="278" t="s">
        <v>31</v>
      </c>
      <c r="AG11" s="278"/>
      <c r="AH11" s="278"/>
      <c r="AI11" s="278"/>
      <c r="AJ11" s="278"/>
    </row>
    <row r="12" spans="2:36" x14ac:dyDescent="0.2">
      <c r="B12" s="64">
        <v>1994</v>
      </c>
      <c r="C12" s="48">
        <v>34547</v>
      </c>
      <c r="D12" s="32"/>
      <c r="E12" s="33"/>
      <c r="F12" s="33"/>
      <c r="G12" s="2"/>
      <c r="H12" s="2"/>
      <c r="I12" s="2"/>
      <c r="J12" s="2"/>
      <c r="K12" s="2"/>
      <c r="L12" s="2"/>
      <c r="M12" s="2"/>
      <c r="N12" s="2"/>
      <c r="O12" s="2"/>
      <c r="AF12" s="278" t="s">
        <v>32</v>
      </c>
      <c r="AG12" s="278"/>
      <c r="AH12" s="278"/>
      <c r="AI12" s="278"/>
      <c r="AJ12" s="278"/>
    </row>
    <row r="13" spans="2:36" x14ac:dyDescent="0.2">
      <c r="B13" s="64">
        <v>1994</v>
      </c>
      <c r="C13" s="47">
        <v>34578</v>
      </c>
      <c r="D13" s="32"/>
      <c r="E13" s="33"/>
      <c r="F13" s="33"/>
      <c r="G13" s="2"/>
      <c r="H13" s="2"/>
      <c r="I13" s="2"/>
      <c r="J13" s="2"/>
      <c r="K13" s="2"/>
      <c r="L13" s="2"/>
      <c r="M13" s="2"/>
      <c r="N13" s="2"/>
      <c r="O13" s="2"/>
      <c r="AF13" s="278" t="s">
        <v>33</v>
      </c>
      <c r="AG13" s="278"/>
      <c r="AH13" s="278"/>
      <c r="AI13" s="278"/>
      <c r="AJ13" s="278"/>
    </row>
    <row r="14" spans="2:36" x14ac:dyDescent="0.2">
      <c r="B14" s="64">
        <v>1994</v>
      </c>
      <c r="C14" s="48">
        <v>34608</v>
      </c>
      <c r="D14" s="32"/>
      <c r="E14" s="33"/>
      <c r="F14" s="33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64">
        <v>1994</v>
      </c>
      <c r="C15" s="47">
        <v>34639</v>
      </c>
      <c r="D15" s="32"/>
      <c r="E15" s="33"/>
      <c r="F15" s="33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64">
        <v>1994</v>
      </c>
      <c r="C16" s="48">
        <v>34669</v>
      </c>
      <c r="D16" s="34"/>
      <c r="E16" s="35"/>
      <c r="F16" s="35"/>
      <c r="G16" s="20"/>
      <c r="H16" s="20"/>
      <c r="I16" s="20"/>
      <c r="J16" s="20"/>
      <c r="K16" s="20"/>
      <c r="L16" s="20"/>
      <c r="M16" s="20"/>
      <c r="N16" s="20"/>
      <c r="O16" s="28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64">
        <v>1995.0833329000006</v>
      </c>
      <c r="C17" s="47">
        <v>34700</v>
      </c>
      <c r="D17" s="36"/>
      <c r="E17" s="37"/>
      <c r="F17" s="37"/>
      <c r="G17" s="22"/>
      <c r="H17" s="22"/>
      <c r="I17" s="22"/>
      <c r="J17" s="22"/>
      <c r="K17" s="22"/>
      <c r="L17" s="22"/>
      <c r="M17" s="22"/>
      <c r="N17" s="22">
        <v>27816</v>
      </c>
      <c r="O17" s="22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64">
        <v>1995.0833329000006</v>
      </c>
      <c r="C18" s="48">
        <v>34731</v>
      </c>
      <c r="D18" s="32"/>
      <c r="E18" s="33"/>
      <c r="F18" s="33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64">
        <v>1995.0833329000006</v>
      </c>
      <c r="C19" s="47">
        <v>34759</v>
      </c>
      <c r="D19" s="32"/>
      <c r="E19" s="33"/>
      <c r="F19" s="33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64">
        <v>1995.0833329000006</v>
      </c>
      <c r="C20" s="48">
        <v>34790</v>
      </c>
      <c r="D20" s="32"/>
      <c r="E20" s="33"/>
      <c r="F20" s="33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64">
        <v>1995.0833329000006</v>
      </c>
      <c r="C21" s="47">
        <v>34820</v>
      </c>
      <c r="D21" s="32"/>
      <c r="E21" s="33"/>
      <c r="F21" s="33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64">
        <v>1995.0833329000006</v>
      </c>
      <c r="C22" s="48">
        <v>34851</v>
      </c>
      <c r="D22" s="32"/>
      <c r="E22" s="33"/>
      <c r="F22" s="33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64">
        <v>1995.0833329000006</v>
      </c>
      <c r="C23" s="47">
        <v>34881</v>
      </c>
      <c r="D23" s="32"/>
      <c r="E23" s="33"/>
      <c r="F23" s="33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64">
        <v>1995.0833329000006</v>
      </c>
      <c r="C24" s="48">
        <v>34912</v>
      </c>
      <c r="D24" s="32"/>
      <c r="E24" s="33"/>
      <c r="F24" s="33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64">
        <v>1995.0833329000006</v>
      </c>
      <c r="C25" s="47">
        <v>34943</v>
      </c>
      <c r="D25" s="32"/>
      <c r="E25" s="33"/>
      <c r="F25" s="33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64">
        <v>1995.0833329000006</v>
      </c>
      <c r="C26" s="48">
        <v>34973</v>
      </c>
      <c r="D26" s="32"/>
      <c r="E26" s="33"/>
      <c r="F26" s="33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64">
        <v>1995.0833329000006</v>
      </c>
      <c r="C27" s="47">
        <v>35004</v>
      </c>
      <c r="D27" s="32"/>
      <c r="E27" s="33"/>
      <c r="F27" s="33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64">
        <v>1995.0833329000006</v>
      </c>
      <c r="C28" s="48">
        <v>35034</v>
      </c>
      <c r="D28" s="38"/>
      <c r="E28" s="39"/>
      <c r="F28" s="39"/>
      <c r="G28" s="24"/>
      <c r="H28" s="24"/>
      <c r="I28" s="24"/>
      <c r="J28" s="24"/>
      <c r="K28" s="24"/>
      <c r="L28" s="24"/>
      <c r="M28" s="24"/>
      <c r="N28" s="24">
        <v>25352</v>
      </c>
      <c r="O28" s="24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64">
        <v>1996.0833325000012</v>
      </c>
      <c r="C29" s="47">
        <v>35065</v>
      </c>
      <c r="D29" s="36"/>
      <c r="E29" s="37"/>
      <c r="F29" s="37"/>
      <c r="G29" s="22"/>
      <c r="H29" s="22"/>
      <c r="I29" s="22"/>
      <c r="J29" s="22"/>
      <c r="K29" s="22"/>
      <c r="L29" s="22"/>
      <c r="M29" s="22"/>
      <c r="N29" s="22">
        <v>24419</v>
      </c>
      <c r="O29" s="26">
        <v>23957</v>
      </c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64">
        <v>1996.1666658000013</v>
      </c>
      <c r="C30" s="48">
        <v>35096</v>
      </c>
      <c r="D30" s="32"/>
      <c r="E30" s="33"/>
      <c r="F30" s="33"/>
      <c r="G30" s="2"/>
      <c r="H30" s="2"/>
      <c r="I30" s="2"/>
      <c r="J30" s="2"/>
      <c r="K30" s="2"/>
      <c r="L30" s="2"/>
      <c r="M30" s="2"/>
      <c r="N30" s="2">
        <v>22763</v>
      </c>
      <c r="O30" s="25">
        <v>23957</v>
      </c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64">
        <v>1996.2499991000013</v>
      </c>
      <c r="C31" s="47">
        <v>35125</v>
      </c>
      <c r="D31" s="32"/>
      <c r="E31" s="33"/>
      <c r="F31" s="33"/>
      <c r="G31" s="2"/>
      <c r="H31" s="2"/>
      <c r="I31" s="2"/>
      <c r="J31" s="2"/>
      <c r="K31" s="2"/>
      <c r="L31" s="2"/>
      <c r="M31" s="2"/>
      <c r="N31" s="2">
        <v>24946</v>
      </c>
      <c r="O31" s="25">
        <v>23957</v>
      </c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64">
        <v>1996.3333324000014</v>
      </c>
      <c r="C32" s="48">
        <v>35156</v>
      </c>
      <c r="D32" s="32"/>
      <c r="E32" s="33"/>
      <c r="F32" s="33"/>
      <c r="G32" s="2"/>
      <c r="H32" s="2"/>
      <c r="I32" s="2"/>
      <c r="J32" s="2"/>
      <c r="K32" s="2"/>
      <c r="L32" s="2"/>
      <c r="M32" s="2"/>
      <c r="N32" s="2">
        <v>24103</v>
      </c>
      <c r="O32" s="25">
        <v>23957</v>
      </c>
      <c r="AE32" s="14">
        <v>8</v>
      </c>
      <c r="AF32" s="6"/>
      <c r="AG32" s="2"/>
      <c r="AH32" s="2"/>
      <c r="AI32" s="2"/>
      <c r="AJ32" s="2"/>
    </row>
    <row r="33" spans="2:15" x14ac:dyDescent="0.2">
      <c r="B33" s="64">
        <v>1996.4166657000014</v>
      </c>
      <c r="C33" s="47">
        <v>35186</v>
      </c>
      <c r="D33" s="32"/>
      <c r="E33" s="33"/>
      <c r="F33" s="33"/>
      <c r="G33" s="2"/>
      <c r="H33" s="2"/>
      <c r="I33" s="2"/>
      <c r="J33" s="2"/>
      <c r="K33" s="2"/>
      <c r="L33" s="2"/>
      <c r="M33" s="2"/>
      <c r="N33" s="2">
        <v>25773</v>
      </c>
      <c r="O33" s="25">
        <v>23957</v>
      </c>
    </row>
    <row r="34" spans="2:15" x14ac:dyDescent="0.2">
      <c r="B34" s="64">
        <v>1996.4999990000015</v>
      </c>
      <c r="C34" s="48">
        <v>35217</v>
      </c>
      <c r="D34" s="32"/>
      <c r="E34" s="33"/>
      <c r="F34" s="33"/>
      <c r="G34" s="2"/>
      <c r="H34" s="2"/>
      <c r="I34" s="2"/>
      <c r="J34" s="2"/>
      <c r="K34" s="2"/>
      <c r="L34" s="2"/>
      <c r="M34" s="2"/>
      <c r="N34" s="2">
        <v>24088</v>
      </c>
      <c r="O34" s="25">
        <v>23957</v>
      </c>
    </row>
    <row r="35" spans="2:15" x14ac:dyDescent="0.2">
      <c r="B35" s="64">
        <v>1996.5833323000015</v>
      </c>
      <c r="C35" s="47">
        <v>35247</v>
      </c>
      <c r="D35" s="32"/>
      <c r="E35" s="33"/>
      <c r="F35" s="33"/>
      <c r="G35" s="2"/>
      <c r="H35" s="2"/>
      <c r="I35" s="2"/>
      <c r="J35" s="2"/>
      <c r="K35" s="2"/>
      <c r="L35" s="2"/>
      <c r="M35" s="2"/>
      <c r="N35" s="2">
        <v>22938</v>
      </c>
      <c r="O35" s="25">
        <v>23957</v>
      </c>
    </row>
    <row r="36" spans="2:15" x14ac:dyDescent="0.2">
      <c r="B36" s="64">
        <v>1996.6666656000016</v>
      </c>
      <c r="C36" s="48">
        <v>35278</v>
      </c>
      <c r="D36" s="32">
        <v>1</v>
      </c>
      <c r="E36" s="33"/>
      <c r="F36" s="33"/>
      <c r="G36" s="2"/>
      <c r="H36" s="2"/>
      <c r="I36" s="2"/>
      <c r="J36" s="2"/>
      <c r="K36" s="2"/>
      <c r="L36" s="2"/>
      <c r="M36" s="2"/>
      <c r="N36" s="2">
        <v>24213</v>
      </c>
      <c r="O36" s="25">
        <v>23957</v>
      </c>
    </row>
    <row r="37" spans="2:15" x14ac:dyDescent="0.2">
      <c r="B37" s="64">
        <v>1996.7499989000016</v>
      </c>
      <c r="C37" s="47">
        <v>35309</v>
      </c>
      <c r="D37" s="32"/>
      <c r="E37" s="33"/>
      <c r="F37" s="33"/>
      <c r="G37" s="2"/>
      <c r="H37" s="2"/>
      <c r="I37" s="2"/>
      <c r="J37" s="2"/>
      <c r="K37" s="2"/>
      <c r="L37" s="2"/>
      <c r="M37" s="2"/>
      <c r="N37" s="2">
        <v>23623</v>
      </c>
      <c r="O37" s="25">
        <v>23957</v>
      </c>
    </row>
    <row r="38" spans="2:15" x14ac:dyDescent="0.2">
      <c r="B38" s="64">
        <v>1996.8333322000017</v>
      </c>
      <c r="C38" s="48">
        <v>35339</v>
      </c>
      <c r="D38" s="32"/>
      <c r="E38" s="33"/>
      <c r="F38" s="33"/>
      <c r="G38" s="2"/>
      <c r="H38" s="2"/>
      <c r="I38" s="2"/>
      <c r="J38" s="2"/>
      <c r="K38" s="2"/>
      <c r="L38" s="2"/>
      <c r="M38" s="2"/>
      <c r="N38" s="2">
        <v>23943</v>
      </c>
      <c r="O38" s="25">
        <v>23957</v>
      </c>
    </row>
    <row r="39" spans="2:15" x14ac:dyDescent="0.2">
      <c r="B39" s="64">
        <v>1996.9166655000017</v>
      </c>
      <c r="C39" s="47">
        <v>35370</v>
      </c>
      <c r="D39" s="32"/>
      <c r="E39" s="33"/>
      <c r="F39" s="33"/>
      <c r="G39" s="2"/>
      <c r="H39" s="2"/>
      <c r="I39" s="2"/>
      <c r="J39" s="2"/>
      <c r="K39" s="2"/>
      <c r="L39" s="2"/>
      <c r="M39" s="2"/>
      <c r="N39" s="2">
        <v>21988</v>
      </c>
      <c r="O39" s="25">
        <v>23957</v>
      </c>
    </row>
    <row r="40" spans="2:15" ht="13.5" thickBot="1" x14ac:dyDescent="0.25">
      <c r="B40" s="64">
        <v>1996.9999988000018</v>
      </c>
      <c r="C40" s="48">
        <v>35400</v>
      </c>
      <c r="D40" s="38"/>
      <c r="E40" s="39"/>
      <c r="F40" s="39"/>
      <c r="G40" s="23"/>
      <c r="H40" s="23"/>
      <c r="I40" s="23"/>
      <c r="J40" s="23"/>
      <c r="K40" s="23"/>
      <c r="L40" s="23"/>
      <c r="M40" s="23"/>
      <c r="N40" s="23">
        <v>20824</v>
      </c>
      <c r="O40" s="27">
        <v>23957</v>
      </c>
    </row>
    <row r="41" spans="2:15" x14ac:dyDescent="0.2">
      <c r="B41" s="64">
        <v>1997.0833321000018</v>
      </c>
      <c r="C41" s="47">
        <v>35431</v>
      </c>
      <c r="D41" s="30"/>
      <c r="E41" s="31"/>
      <c r="F41" s="31"/>
      <c r="G41" s="21"/>
      <c r="H41" s="21"/>
      <c r="I41" s="21"/>
      <c r="J41" s="21"/>
      <c r="K41" s="21"/>
      <c r="L41" s="21"/>
      <c r="M41" s="21"/>
      <c r="N41" s="21">
        <v>20590</v>
      </c>
      <c r="O41" s="21">
        <v>23372</v>
      </c>
    </row>
    <row r="42" spans="2:15" x14ac:dyDescent="0.2">
      <c r="B42" s="64">
        <v>1997.1666654000019</v>
      </c>
      <c r="C42" s="48">
        <v>35462</v>
      </c>
      <c r="D42" s="32"/>
      <c r="E42" s="33"/>
      <c r="F42" s="33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x14ac:dyDescent="0.2">
      <c r="B43" s="64">
        <v>1997.2499987000019</v>
      </c>
      <c r="C43" s="47">
        <v>35490</v>
      </c>
      <c r="D43" s="32"/>
      <c r="E43" s="33"/>
      <c r="F43" s="33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x14ac:dyDescent="0.2">
      <c r="B44" s="64">
        <v>1997.333332000002</v>
      </c>
      <c r="C44" s="48">
        <v>35521</v>
      </c>
      <c r="D44" s="32"/>
      <c r="E44" s="33"/>
      <c r="F44" s="33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x14ac:dyDescent="0.2">
      <c r="B45" s="64">
        <v>1997.416665300002</v>
      </c>
      <c r="C45" s="47">
        <v>35551</v>
      </c>
      <c r="D45" s="32"/>
      <c r="E45" s="33"/>
      <c r="F45" s="33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x14ac:dyDescent="0.2">
      <c r="B46" s="64">
        <v>1997.4999986000021</v>
      </c>
      <c r="C46" s="48">
        <v>35582</v>
      </c>
      <c r="D46" s="32"/>
      <c r="E46" s="33"/>
      <c r="F46" s="33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x14ac:dyDescent="0.2">
      <c r="B47" s="64">
        <v>1997.5833319000021</v>
      </c>
      <c r="C47" s="47">
        <v>35612</v>
      </c>
      <c r="D47" s="32"/>
      <c r="E47" s="33"/>
      <c r="F47" s="33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x14ac:dyDescent="0.2">
      <c r="B48" s="64">
        <v>1997.6666652000022</v>
      </c>
      <c r="C48" s="48">
        <v>35643</v>
      </c>
      <c r="D48" s="32"/>
      <c r="E48" s="33"/>
      <c r="F48" s="33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64">
        <v>1997.7499985000022</v>
      </c>
      <c r="C49" s="47">
        <v>35674</v>
      </c>
      <c r="D49" s="32"/>
      <c r="E49" s="33"/>
      <c r="F49" s="33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64">
        <v>1997.8333318000023</v>
      </c>
      <c r="C50" s="48">
        <v>35704</v>
      </c>
      <c r="D50" s="32"/>
      <c r="E50" s="33"/>
      <c r="F50" s="33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64">
        <v>1997.9166651000023</v>
      </c>
      <c r="C51" s="47">
        <v>35735</v>
      </c>
      <c r="D51" s="32"/>
      <c r="E51" s="33"/>
      <c r="F51" s="33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64">
        <v>1997.9999984000024</v>
      </c>
      <c r="C52" s="48">
        <v>35765</v>
      </c>
      <c r="D52" s="34"/>
      <c r="E52" s="35"/>
      <c r="F52" s="35"/>
      <c r="G52" s="20"/>
      <c r="H52" s="20"/>
      <c r="I52" s="20"/>
      <c r="J52" s="20"/>
      <c r="K52" s="20"/>
      <c r="L52" s="20"/>
      <c r="M52" s="20"/>
      <c r="N52" s="20">
        <v>26038</v>
      </c>
      <c r="O52" s="20">
        <v>23372</v>
      </c>
    </row>
    <row r="53" spans="2:17" x14ac:dyDescent="0.2">
      <c r="B53" s="64">
        <v>1998.0833317000024</v>
      </c>
      <c r="C53" s="47">
        <v>35796</v>
      </c>
      <c r="D53" s="36"/>
      <c r="E53" s="22"/>
      <c r="F53" s="22"/>
      <c r="G53" s="22"/>
      <c r="H53" s="22"/>
      <c r="I53" s="22"/>
      <c r="J53" s="22"/>
      <c r="K53" s="22"/>
      <c r="L53" s="22"/>
      <c r="M53" s="22"/>
      <c r="N53" s="22">
        <v>20728</v>
      </c>
      <c r="O53" s="22">
        <v>39526</v>
      </c>
      <c r="Q53">
        <f>31+28+31</f>
        <v>90</v>
      </c>
    </row>
    <row r="54" spans="2:17" x14ac:dyDescent="0.2">
      <c r="B54" s="64">
        <v>1998.1666650000025</v>
      </c>
      <c r="C54" s="48">
        <v>35827</v>
      </c>
      <c r="D54" s="32"/>
      <c r="E54" s="2"/>
      <c r="F54" s="2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64">
        <v>1998.2499983000025</v>
      </c>
      <c r="C55" s="47">
        <v>35855</v>
      </c>
      <c r="D55" s="32"/>
      <c r="E55" s="2"/>
      <c r="F55" s="2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64">
        <v>1998.3333316000026</v>
      </c>
      <c r="C56" s="48">
        <v>35886</v>
      </c>
      <c r="D56" s="32"/>
      <c r="E56" s="2"/>
      <c r="F56" s="2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64">
        <v>1998.4166649000026</v>
      </c>
      <c r="C57" s="47">
        <v>35916</v>
      </c>
      <c r="D57" s="32"/>
      <c r="E57" s="2"/>
      <c r="F57" s="2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64">
        <v>1998.4999982000027</v>
      </c>
      <c r="C58" s="48">
        <v>35947</v>
      </c>
      <c r="D58" s="32"/>
      <c r="E58" s="2"/>
      <c r="F58" s="2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64">
        <v>1998.5833315000027</v>
      </c>
      <c r="C59" s="47">
        <v>35977</v>
      </c>
      <c r="D59" s="32"/>
      <c r="E59" s="2"/>
      <c r="F59" s="2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64">
        <v>1998.6666648000028</v>
      </c>
      <c r="C60" s="48">
        <v>36008</v>
      </c>
      <c r="D60" s="32"/>
      <c r="E60" s="2"/>
      <c r="F60" s="2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64">
        <v>1998.7499981000028</v>
      </c>
      <c r="C61" s="47">
        <v>36039</v>
      </c>
      <c r="D61" s="32"/>
      <c r="E61" s="2"/>
      <c r="F61" s="2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64">
        <v>1998.8333314000029</v>
      </c>
      <c r="C62" s="48">
        <v>36069</v>
      </c>
      <c r="D62" s="32"/>
      <c r="E62" s="2"/>
      <c r="F62" s="2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64">
        <v>1998.9166647000029</v>
      </c>
      <c r="C63" s="47">
        <v>36100</v>
      </c>
      <c r="D63" s="32"/>
      <c r="E63" s="2"/>
      <c r="F63" s="2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64">
        <v>1998.999998000003</v>
      </c>
      <c r="C64" s="48">
        <v>36130</v>
      </c>
      <c r="D64" s="38"/>
      <c r="E64" s="24"/>
      <c r="F64" s="24">
        <v>4516</v>
      </c>
      <c r="G64" s="24">
        <v>8768</v>
      </c>
      <c r="H64" s="24"/>
      <c r="I64" s="24">
        <v>16126</v>
      </c>
      <c r="J64" s="24"/>
      <c r="K64" s="24"/>
      <c r="L64" s="24"/>
      <c r="M64" s="24">
        <v>20217.290322580644</v>
      </c>
      <c r="N64" s="24">
        <v>49627.290322580644</v>
      </c>
      <c r="O64" s="24">
        <v>39526</v>
      </c>
    </row>
    <row r="65" spans="2:17" x14ac:dyDescent="0.2">
      <c r="B65" s="64">
        <v>1999.083331300003</v>
      </c>
      <c r="C65" s="47">
        <v>36161</v>
      </c>
      <c r="D65" s="36"/>
      <c r="E65" s="40"/>
      <c r="F65" s="40">
        <v>4448</v>
      </c>
      <c r="G65" s="22">
        <v>8499</v>
      </c>
      <c r="H65" s="22"/>
      <c r="I65" s="22">
        <v>17624</v>
      </c>
      <c r="J65" s="22"/>
      <c r="K65" s="22"/>
      <c r="L65" s="22"/>
      <c r="M65" s="22">
        <v>20798</v>
      </c>
      <c r="N65" s="22">
        <v>51369</v>
      </c>
      <c r="O65" s="2">
        <v>40122</v>
      </c>
      <c r="Q65">
        <f>13593165+1051365</f>
        <v>14644530</v>
      </c>
    </row>
    <row r="66" spans="2:17" x14ac:dyDescent="0.2">
      <c r="B66" s="64">
        <v>1999.1666646000031</v>
      </c>
      <c r="C66" s="48">
        <v>36192</v>
      </c>
      <c r="D66" s="32"/>
      <c r="E66" s="2"/>
      <c r="F66" s="2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64">
        <v>1999.2499979000031</v>
      </c>
      <c r="C67" s="47">
        <v>36220</v>
      </c>
      <c r="D67" s="32"/>
      <c r="E67" s="2"/>
      <c r="F67" s="2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64">
        <v>1999.3333312000032</v>
      </c>
      <c r="C68" s="48">
        <v>36251</v>
      </c>
      <c r="D68" s="32"/>
      <c r="E68" s="2"/>
      <c r="F68" s="2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64">
        <v>1999.4166645000032</v>
      </c>
      <c r="C69" s="47">
        <v>36281</v>
      </c>
      <c r="D69" s="41">
        <v>134</v>
      </c>
      <c r="E69" s="2"/>
      <c r="F69" s="2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64">
        <v>1999.4999978000033</v>
      </c>
      <c r="C70" s="48">
        <v>36312</v>
      </c>
      <c r="D70" s="42">
        <v>373</v>
      </c>
      <c r="E70" s="2"/>
      <c r="F70" s="2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64">
        <v>1999.5833311000033</v>
      </c>
      <c r="C71" s="47">
        <v>36342</v>
      </c>
      <c r="D71" s="42">
        <v>381</v>
      </c>
      <c r="E71" s="2"/>
      <c r="F71" s="2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64">
        <v>1999.6666644000034</v>
      </c>
      <c r="C72" s="48">
        <v>36373</v>
      </c>
      <c r="D72" s="42">
        <v>347</v>
      </c>
      <c r="E72" s="2"/>
      <c r="F72" s="2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64">
        <v>1999.7499977000034</v>
      </c>
      <c r="C73" s="47">
        <v>36404</v>
      </c>
      <c r="D73" s="42">
        <v>420</v>
      </c>
      <c r="E73" s="2"/>
      <c r="F73" s="2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64">
        <v>1999.8333310000035</v>
      </c>
      <c r="C74" s="48">
        <v>36434</v>
      </c>
      <c r="D74" s="42">
        <v>334</v>
      </c>
      <c r="E74" s="2"/>
      <c r="F74" s="2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64">
        <v>1999.9166643000035</v>
      </c>
      <c r="C75" s="47">
        <v>36465</v>
      </c>
      <c r="D75" s="42">
        <v>540</v>
      </c>
      <c r="E75" s="2"/>
      <c r="F75" s="2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64">
        <v>1999.9999976000036</v>
      </c>
      <c r="C76" s="48">
        <v>36495</v>
      </c>
      <c r="D76" s="43">
        <v>109</v>
      </c>
      <c r="E76" s="24"/>
      <c r="F76" s="24">
        <v>3339</v>
      </c>
      <c r="G76" s="24">
        <v>8080</v>
      </c>
      <c r="H76" s="24"/>
      <c r="I76" s="24">
        <v>17129</v>
      </c>
      <c r="J76" s="24"/>
      <c r="K76" s="24"/>
      <c r="L76" s="24"/>
      <c r="M76" s="24">
        <v>5258</v>
      </c>
      <c r="N76" s="24">
        <v>33915</v>
      </c>
      <c r="O76" s="24">
        <v>40122</v>
      </c>
      <c r="Q76" s="1"/>
    </row>
    <row r="77" spans="2:17" x14ac:dyDescent="0.2">
      <c r="B77" s="64">
        <v>2000.0833309000036</v>
      </c>
      <c r="C77" s="47">
        <v>36526</v>
      </c>
      <c r="D77" s="51">
        <v>93</v>
      </c>
      <c r="E77" s="7"/>
      <c r="F77" s="7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64">
        <v>2000.1666642000037</v>
      </c>
      <c r="C78" s="48">
        <v>36557</v>
      </c>
      <c r="D78" s="53">
        <v>139</v>
      </c>
      <c r="E78" s="53"/>
      <c r="F78" s="53">
        <v>3410</v>
      </c>
      <c r="G78" s="53">
        <v>4542</v>
      </c>
      <c r="H78" s="53"/>
      <c r="I78" s="53">
        <v>16532</v>
      </c>
      <c r="J78" s="53"/>
      <c r="K78" s="53"/>
      <c r="L78" s="53"/>
      <c r="M78" s="53">
        <v>4542</v>
      </c>
      <c r="N78" s="53">
        <v>29762</v>
      </c>
      <c r="O78" s="53">
        <v>33289</v>
      </c>
      <c r="Q78" s="1"/>
    </row>
    <row r="79" spans="2:17" x14ac:dyDescent="0.2">
      <c r="B79" s="64">
        <v>2000.2499975000037</v>
      </c>
      <c r="C79" s="47">
        <v>36586</v>
      </c>
      <c r="D79" s="53">
        <v>82</v>
      </c>
      <c r="E79" s="7"/>
      <c r="F79" s="7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64">
        <v>2000.3333308000038</v>
      </c>
      <c r="C80" s="48">
        <v>36617</v>
      </c>
      <c r="D80" s="51">
        <v>74</v>
      </c>
      <c r="E80" s="7"/>
      <c r="F80" s="7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64">
        <v>2000.4166641000038</v>
      </c>
      <c r="C81" s="47">
        <v>36647</v>
      </c>
      <c r="D81" s="51">
        <v>17</v>
      </c>
      <c r="E81" s="7"/>
      <c r="F81" s="7">
        <v>2809</v>
      </c>
      <c r="G81" s="7">
        <v>5063</v>
      </c>
      <c r="H81" s="7"/>
      <c r="I81" s="7">
        <v>18266</v>
      </c>
      <c r="J81" s="7"/>
      <c r="K81" s="7"/>
      <c r="L81" s="7"/>
      <c r="M81" s="54">
        <v>283</v>
      </c>
      <c r="N81" s="7">
        <v>26438</v>
      </c>
      <c r="O81" s="7">
        <v>33289</v>
      </c>
      <c r="Q81" s="1"/>
    </row>
    <row r="82" spans="2:17" x14ac:dyDescent="0.2">
      <c r="B82" s="64">
        <v>2000.4999974000038</v>
      </c>
      <c r="C82" s="48">
        <v>36678</v>
      </c>
      <c r="D82" s="51">
        <v>0</v>
      </c>
      <c r="E82" s="7"/>
      <c r="F82" s="7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64">
        <v>2000.5833307000039</v>
      </c>
      <c r="C83" s="47">
        <v>36708</v>
      </c>
      <c r="D83" s="51">
        <v>176</v>
      </c>
      <c r="E83" s="51"/>
      <c r="F83" s="51">
        <v>3549</v>
      </c>
      <c r="G83" s="51">
        <v>7790</v>
      </c>
      <c r="H83" s="51"/>
      <c r="I83" s="51">
        <v>14587</v>
      </c>
      <c r="J83" s="51"/>
      <c r="K83" s="51"/>
      <c r="L83" s="51"/>
      <c r="M83" s="51">
        <v>16902</v>
      </c>
      <c r="N83" s="7">
        <v>43004</v>
      </c>
      <c r="O83" s="7">
        <v>33289</v>
      </c>
      <c r="Q83" s="1"/>
    </row>
    <row r="84" spans="2:17" x14ac:dyDescent="0.2">
      <c r="B84" s="64">
        <v>2000.6666640000039</v>
      </c>
      <c r="C84" s="48">
        <v>36739</v>
      </c>
      <c r="D84" s="51">
        <v>420</v>
      </c>
      <c r="E84" s="55"/>
      <c r="F84" s="55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64">
        <v>2000.749997300004</v>
      </c>
      <c r="C85" s="47">
        <v>36770</v>
      </c>
      <c r="D85" s="51">
        <v>321</v>
      </c>
      <c r="E85" s="7"/>
      <c r="F85" s="5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64">
        <v>2000.833330600004</v>
      </c>
      <c r="C86" s="48">
        <v>36800</v>
      </c>
      <c r="D86" s="51">
        <v>470</v>
      </c>
      <c r="E86" s="7"/>
      <c r="F86" s="5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64">
        <v>2000.9166639000041</v>
      </c>
      <c r="C87" s="47">
        <v>36831</v>
      </c>
      <c r="D87" s="51">
        <v>462.13333333333333</v>
      </c>
      <c r="E87" s="51"/>
      <c r="F87" s="51">
        <v>2888.1666666666665</v>
      </c>
      <c r="G87" s="51">
        <v>9094.2999999999993</v>
      </c>
      <c r="H87" s="51"/>
      <c r="I87" s="51">
        <v>13981.6</v>
      </c>
      <c r="J87" s="51"/>
      <c r="K87" s="51"/>
      <c r="L87" s="51"/>
      <c r="M87" s="51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64">
        <v>2000.9999972000041</v>
      </c>
      <c r="C88" s="48">
        <v>36861</v>
      </c>
      <c r="D88" s="51">
        <v>0</v>
      </c>
      <c r="E88" s="51"/>
      <c r="F88" s="51">
        <v>1438.8709677419354</v>
      </c>
      <c r="G88" s="51">
        <v>9038.8387096774186</v>
      </c>
      <c r="H88" s="51"/>
      <c r="I88" s="51">
        <v>8079.5483870967746</v>
      </c>
      <c r="J88" s="51"/>
      <c r="K88" s="51"/>
      <c r="L88" s="51"/>
      <c r="M88" s="51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64">
        <v>2001.0833305000042</v>
      </c>
      <c r="C89" s="47">
        <v>36892</v>
      </c>
      <c r="D89" s="7">
        <v>0</v>
      </c>
      <c r="E89" s="7"/>
      <c r="F89" s="7">
        <v>913.90322580645159</v>
      </c>
      <c r="G89" s="7">
        <v>7955.4516129032254</v>
      </c>
      <c r="H89" s="7"/>
      <c r="I89" s="7">
        <v>6491.322580645161</v>
      </c>
      <c r="J89" s="7"/>
      <c r="K89" s="7"/>
      <c r="L89" s="7"/>
      <c r="M89" s="7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64">
        <v>2001.1666638000042</v>
      </c>
      <c r="C90" s="47">
        <v>36923</v>
      </c>
      <c r="D90" s="7">
        <v>0</v>
      </c>
      <c r="E90" s="7"/>
      <c r="F90" s="7">
        <v>0</v>
      </c>
      <c r="G90" s="7">
        <v>8897.5714285714294</v>
      </c>
      <c r="H90" s="7"/>
      <c r="I90" s="7">
        <v>4000.9642857142858</v>
      </c>
      <c r="J90" s="7"/>
      <c r="K90" s="7"/>
      <c r="L90" s="7"/>
      <c r="M90" s="7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64">
        <v>2001.2499971000043</v>
      </c>
      <c r="C91" s="47">
        <v>36951</v>
      </c>
      <c r="D91" s="7">
        <v>23.741935483870968</v>
      </c>
      <c r="E91" s="7"/>
      <c r="F91" s="7">
        <v>1606</v>
      </c>
      <c r="G91" s="7">
        <v>7680.5161290322585</v>
      </c>
      <c r="H91" s="7"/>
      <c r="I91" s="7">
        <v>7112.0967741935483</v>
      </c>
      <c r="J91" s="7"/>
      <c r="K91" s="7"/>
      <c r="L91" s="7"/>
      <c r="M91" s="7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64">
        <v>2001.3333304000043</v>
      </c>
      <c r="C92" s="47">
        <v>36982</v>
      </c>
      <c r="D92" s="7">
        <v>0</v>
      </c>
      <c r="E92" s="7"/>
      <c r="F92" s="7">
        <v>1504.2</v>
      </c>
      <c r="G92" s="7">
        <v>6727.0333333333338</v>
      </c>
      <c r="H92" s="7"/>
      <c r="I92" s="7">
        <v>8040.2666666666664</v>
      </c>
      <c r="J92" s="7"/>
      <c r="K92" s="7"/>
      <c r="L92" s="7"/>
      <c r="M92" s="7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64">
        <v>2001.4166637000044</v>
      </c>
      <c r="C93" s="47">
        <v>37012</v>
      </c>
      <c r="D93" s="7">
        <v>0</v>
      </c>
      <c r="E93" s="7">
        <v>0</v>
      </c>
      <c r="F93" s="7">
        <v>1554.258064516129</v>
      </c>
      <c r="G93" s="7">
        <v>7242.8064516129034</v>
      </c>
      <c r="H93" s="7"/>
      <c r="I93" s="7">
        <v>8030.1290322580644</v>
      </c>
      <c r="J93" s="7"/>
      <c r="K93" s="7"/>
      <c r="L93" s="7"/>
      <c r="M93" s="7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64">
        <v>2001.4999970000044</v>
      </c>
      <c r="C94" s="47">
        <v>37043</v>
      </c>
      <c r="D94" s="7">
        <v>0</v>
      </c>
      <c r="E94" s="7"/>
      <c r="F94" s="7">
        <v>1799</v>
      </c>
      <c r="G94" s="7">
        <v>7771</v>
      </c>
      <c r="H94" s="7"/>
      <c r="I94" s="7">
        <v>8020</v>
      </c>
      <c r="J94" s="7"/>
      <c r="K94" s="7"/>
      <c r="L94" s="7"/>
      <c r="M94" s="7">
        <v>18913</v>
      </c>
      <c r="N94" s="7">
        <v>36502</v>
      </c>
      <c r="O94" s="7">
        <v>35826</v>
      </c>
      <c r="Q94" s="1"/>
    </row>
    <row r="95" spans="2:17" x14ac:dyDescent="0.2">
      <c r="B95" s="64">
        <v>2001.5833303000045</v>
      </c>
      <c r="C95" s="47">
        <v>37073</v>
      </c>
      <c r="D95" s="7">
        <v>579</v>
      </c>
      <c r="E95" s="7"/>
      <c r="F95" s="7">
        <v>4211</v>
      </c>
      <c r="G95" s="7">
        <v>8782</v>
      </c>
      <c r="H95" s="7"/>
      <c r="I95" s="7">
        <v>12399</v>
      </c>
      <c r="J95" s="7"/>
      <c r="K95" s="7"/>
      <c r="L95" s="7"/>
      <c r="M95" s="7">
        <v>34632</v>
      </c>
      <c r="N95" s="7">
        <v>60603</v>
      </c>
      <c r="O95" s="7">
        <v>35826</v>
      </c>
      <c r="Q95" s="1"/>
    </row>
    <row r="96" spans="2:17" x14ac:dyDescent="0.2">
      <c r="B96" s="64">
        <v>2001.6666636000045</v>
      </c>
      <c r="C96" s="47">
        <v>37104</v>
      </c>
      <c r="D96" s="7">
        <v>837</v>
      </c>
      <c r="E96" s="7"/>
      <c r="F96" s="7">
        <v>6705</v>
      </c>
      <c r="G96" s="7">
        <v>9087</v>
      </c>
      <c r="H96" s="7"/>
      <c r="I96" s="7">
        <v>13244</v>
      </c>
      <c r="J96" s="7"/>
      <c r="K96" s="7"/>
      <c r="L96" s="7"/>
      <c r="M96" s="7">
        <v>38332</v>
      </c>
      <c r="N96" s="7">
        <v>68205</v>
      </c>
      <c r="O96" s="7">
        <v>35826</v>
      </c>
      <c r="Q96" s="1"/>
    </row>
    <row r="97" spans="2:17" x14ac:dyDescent="0.2">
      <c r="B97" s="64">
        <v>2001.7499969000046</v>
      </c>
      <c r="C97" s="47">
        <v>37135</v>
      </c>
      <c r="D97" s="7">
        <v>874</v>
      </c>
      <c r="E97" s="7"/>
      <c r="F97" s="7">
        <v>6670</v>
      </c>
      <c r="G97" s="7">
        <v>9164</v>
      </c>
      <c r="H97" s="7"/>
      <c r="I97" s="7">
        <v>13394</v>
      </c>
      <c r="J97" s="7"/>
      <c r="K97" s="7"/>
      <c r="L97" s="7"/>
      <c r="M97" s="7">
        <v>34791</v>
      </c>
      <c r="N97" s="7">
        <v>64893</v>
      </c>
      <c r="O97" s="7">
        <v>35826</v>
      </c>
      <c r="Q97" s="1"/>
    </row>
    <row r="98" spans="2:17" x14ac:dyDescent="0.2">
      <c r="B98" s="64">
        <v>2001.8333302000046</v>
      </c>
      <c r="C98" s="47">
        <v>37165</v>
      </c>
      <c r="D98" s="7">
        <v>846</v>
      </c>
      <c r="E98" s="7"/>
      <c r="F98" s="7">
        <v>6810</v>
      </c>
      <c r="G98" s="7">
        <v>9092</v>
      </c>
      <c r="H98" s="7"/>
      <c r="I98" s="7">
        <v>13297</v>
      </c>
      <c r="J98" s="7"/>
      <c r="K98" s="7"/>
      <c r="L98" s="7"/>
      <c r="M98" s="7">
        <v>22283</v>
      </c>
      <c r="N98" s="7">
        <v>52328</v>
      </c>
      <c r="O98" s="7">
        <v>35826</v>
      </c>
      <c r="Q98" s="1"/>
    </row>
    <row r="99" spans="2:17" x14ac:dyDescent="0.2">
      <c r="B99" s="64">
        <v>2001.9166635000047</v>
      </c>
      <c r="C99" s="47">
        <v>37196</v>
      </c>
      <c r="D99" s="7">
        <v>375</v>
      </c>
      <c r="E99" s="7"/>
      <c r="F99" s="7">
        <v>4199</v>
      </c>
      <c r="G99" s="7">
        <v>7837</v>
      </c>
      <c r="H99" s="7"/>
      <c r="I99" s="7">
        <v>8259</v>
      </c>
      <c r="J99" s="7"/>
      <c r="K99" s="7"/>
      <c r="L99" s="7"/>
      <c r="M99" s="7">
        <v>10565</v>
      </c>
      <c r="N99" s="7">
        <v>31235</v>
      </c>
      <c r="O99" s="7">
        <v>35826</v>
      </c>
      <c r="Q99" s="1"/>
    </row>
    <row r="100" spans="2:17" x14ac:dyDescent="0.2">
      <c r="B100" s="64">
        <v>2001.9999968000047</v>
      </c>
      <c r="C100" s="52">
        <v>37226</v>
      </c>
      <c r="D100" s="7">
        <v>396</v>
      </c>
      <c r="E100" s="7"/>
      <c r="F100" s="7">
        <v>3518</v>
      </c>
      <c r="G100" s="7">
        <v>6904</v>
      </c>
      <c r="H100" s="7"/>
      <c r="I100" s="7">
        <v>7201</v>
      </c>
      <c r="J100" s="7"/>
      <c r="K100" s="7"/>
      <c r="L100" s="7"/>
      <c r="M100" s="7">
        <v>4428</v>
      </c>
      <c r="N100" s="7">
        <v>22447</v>
      </c>
      <c r="O100" s="7">
        <v>35826</v>
      </c>
      <c r="Q100" s="1"/>
    </row>
    <row r="101" spans="2:17" x14ac:dyDescent="0.2">
      <c r="B101" s="64">
        <v>2002.0833301000048</v>
      </c>
      <c r="C101" s="52">
        <v>37257</v>
      </c>
      <c r="D101" s="56">
        <v>619</v>
      </c>
      <c r="E101" s="7"/>
      <c r="F101" s="7">
        <v>4897</v>
      </c>
      <c r="G101" s="7">
        <v>7341</v>
      </c>
      <c r="H101" s="7"/>
      <c r="I101" s="7">
        <v>8369</v>
      </c>
      <c r="J101" s="7"/>
      <c r="K101" s="7"/>
      <c r="L101" s="7"/>
      <c r="M101" s="7">
        <v>7785</v>
      </c>
      <c r="N101" s="7">
        <v>29011</v>
      </c>
      <c r="O101" s="7">
        <v>42735.94</v>
      </c>
      <c r="Q101" s="1"/>
    </row>
    <row r="102" spans="2:17" x14ac:dyDescent="0.2">
      <c r="B102" s="64">
        <v>2002.1666634000048</v>
      </c>
      <c r="C102" s="52">
        <v>37288</v>
      </c>
      <c r="D102" s="7">
        <v>307</v>
      </c>
      <c r="E102" s="7"/>
      <c r="F102" s="7">
        <v>2708</v>
      </c>
      <c r="G102" s="7">
        <v>5796</v>
      </c>
      <c r="H102" s="7"/>
      <c r="I102" s="7">
        <v>5675</v>
      </c>
      <c r="J102" s="7"/>
      <c r="K102" s="7"/>
      <c r="L102" s="7"/>
      <c r="M102" s="7">
        <v>8964</v>
      </c>
      <c r="N102" s="7">
        <v>23450</v>
      </c>
      <c r="O102" s="7">
        <v>42735.94</v>
      </c>
      <c r="Q102" s="1"/>
    </row>
    <row r="103" spans="2:17" x14ac:dyDescent="0.2">
      <c r="B103" s="64">
        <v>2002.2499967000049</v>
      </c>
      <c r="C103" s="47">
        <v>37316</v>
      </c>
      <c r="D103" s="7">
        <v>0</v>
      </c>
      <c r="E103" s="7"/>
      <c r="F103" s="7">
        <v>2259</v>
      </c>
      <c r="G103" s="7">
        <v>5200</v>
      </c>
      <c r="H103" s="7"/>
      <c r="I103" s="7">
        <v>5191</v>
      </c>
      <c r="J103" s="7"/>
      <c r="K103" s="7"/>
      <c r="L103" s="7"/>
      <c r="M103" s="7">
        <v>16700</v>
      </c>
      <c r="N103" s="7">
        <v>29350</v>
      </c>
      <c r="O103" s="7">
        <v>42735.94</v>
      </c>
      <c r="Q103" s="1"/>
    </row>
    <row r="104" spans="2:17" x14ac:dyDescent="0.2">
      <c r="B104" s="64">
        <v>2002.3333300000049</v>
      </c>
      <c r="C104" s="47">
        <v>37347</v>
      </c>
      <c r="D104" s="7">
        <v>152</v>
      </c>
      <c r="E104" s="7"/>
      <c r="F104" s="7">
        <v>1583</v>
      </c>
      <c r="G104" s="7">
        <v>4942</v>
      </c>
      <c r="H104" s="7"/>
      <c r="I104" s="7">
        <v>5030</v>
      </c>
      <c r="J104" s="7"/>
      <c r="K104" s="7"/>
      <c r="L104" s="7"/>
      <c r="M104" s="7">
        <v>13146</v>
      </c>
      <c r="N104" s="7">
        <v>24853</v>
      </c>
      <c r="O104" s="7">
        <v>42735.94</v>
      </c>
      <c r="Q104" s="1"/>
    </row>
    <row r="105" spans="2:17" x14ac:dyDescent="0.2">
      <c r="B105" s="64">
        <v>2002.416663300005</v>
      </c>
      <c r="C105" s="47">
        <v>37377</v>
      </c>
      <c r="D105" s="7">
        <v>344</v>
      </c>
      <c r="E105" s="7"/>
      <c r="F105" s="7">
        <v>3954</v>
      </c>
      <c r="G105" s="7">
        <v>5896</v>
      </c>
      <c r="H105" s="7">
        <v>1451</v>
      </c>
      <c r="I105" s="7">
        <v>5214</v>
      </c>
      <c r="J105" s="7"/>
      <c r="K105" s="7"/>
      <c r="L105" s="7"/>
      <c r="M105" s="7">
        <v>30906</v>
      </c>
      <c r="N105" s="7">
        <v>47765</v>
      </c>
      <c r="O105" s="7">
        <v>42735.94</v>
      </c>
      <c r="Q105" s="1"/>
    </row>
    <row r="106" spans="2:17" x14ac:dyDescent="0.2">
      <c r="B106" s="64">
        <v>2002.499996600005</v>
      </c>
      <c r="C106" s="47">
        <v>37408</v>
      </c>
      <c r="D106" s="7">
        <v>346</v>
      </c>
      <c r="E106" s="7"/>
      <c r="F106" s="7">
        <v>5218.3</v>
      </c>
      <c r="G106" s="7">
        <v>6615.5</v>
      </c>
      <c r="H106" s="7">
        <v>1330</v>
      </c>
      <c r="I106" s="7">
        <v>8064.2</v>
      </c>
      <c r="J106" s="7"/>
      <c r="K106" s="7"/>
      <c r="L106" s="7"/>
      <c r="M106" s="7">
        <v>38338</v>
      </c>
      <c r="N106" s="7">
        <v>59912</v>
      </c>
      <c r="O106" s="7">
        <v>42735.94</v>
      </c>
      <c r="Q106" s="1"/>
    </row>
    <row r="107" spans="2:17" x14ac:dyDescent="0.2">
      <c r="B107" s="64">
        <v>2002.5833299000051</v>
      </c>
      <c r="C107" s="47">
        <v>37438</v>
      </c>
      <c r="D107" s="7">
        <v>404.3546</v>
      </c>
      <c r="E107" s="7"/>
      <c r="F107" s="7">
        <v>4434.4839000000002</v>
      </c>
      <c r="G107" s="7">
        <v>7269.6085000000003</v>
      </c>
      <c r="H107" s="7">
        <v>565.25170000000003</v>
      </c>
      <c r="I107" s="7">
        <v>9566.1612999999998</v>
      </c>
      <c r="J107" s="7"/>
      <c r="K107" s="7"/>
      <c r="L107" s="7"/>
      <c r="M107" s="7">
        <v>36358.3226</v>
      </c>
      <c r="N107" s="7">
        <v>58598.1826</v>
      </c>
      <c r="O107" s="7">
        <v>42735.94</v>
      </c>
      <c r="Q107" s="1"/>
    </row>
    <row r="108" spans="2:17" x14ac:dyDescent="0.2">
      <c r="B108" s="64">
        <v>2002.6666632000051</v>
      </c>
      <c r="C108" s="47">
        <v>37469</v>
      </c>
      <c r="D108" s="7">
        <v>1643.6451999999999</v>
      </c>
      <c r="E108" s="7"/>
      <c r="F108" s="7">
        <v>5445.9677000000001</v>
      </c>
      <c r="G108" s="7">
        <v>8471.0323000000008</v>
      </c>
      <c r="H108" s="7">
        <v>453.5641</v>
      </c>
      <c r="I108" s="7">
        <v>13478.7742</v>
      </c>
      <c r="J108" s="7"/>
      <c r="K108" s="7"/>
      <c r="L108" s="7"/>
      <c r="M108" s="7">
        <v>43674.6129</v>
      </c>
      <c r="N108" s="7">
        <v>73167.596399999995</v>
      </c>
      <c r="O108" s="7">
        <v>42735.94</v>
      </c>
      <c r="Q108" s="1"/>
    </row>
    <row r="109" spans="2:17" x14ac:dyDescent="0.2">
      <c r="B109" s="64">
        <v>2002.7499965000052</v>
      </c>
      <c r="C109" s="47">
        <v>37500</v>
      </c>
      <c r="D109" s="7">
        <v>835.2</v>
      </c>
      <c r="E109" s="7"/>
      <c r="F109" s="7">
        <v>4938.6000000000004</v>
      </c>
      <c r="G109" s="7">
        <v>8999.4</v>
      </c>
      <c r="H109" s="7">
        <v>255.3931</v>
      </c>
      <c r="I109" s="7">
        <v>14986.8</v>
      </c>
      <c r="J109" s="7"/>
      <c r="K109" s="7"/>
      <c r="L109" s="7"/>
      <c r="M109" s="7">
        <v>42806.43</v>
      </c>
      <c r="N109" s="7">
        <v>72821.823100000009</v>
      </c>
      <c r="O109" s="7">
        <v>42735.94</v>
      </c>
      <c r="Q109" s="1"/>
    </row>
    <row r="110" spans="2:17" x14ac:dyDescent="0.2">
      <c r="B110" s="64">
        <v>2002.8333298000052</v>
      </c>
      <c r="C110" s="47">
        <v>37530</v>
      </c>
      <c r="D110" s="7">
        <v>853.2903</v>
      </c>
      <c r="E110" s="7"/>
      <c r="F110" s="7">
        <v>3252.9555</v>
      </c>
      <c r="G110" s="7">
        <v>7220.6451999999999</v>
      </c>
      <c r="H110" s="7">
        <v>602.11149999999998</v>
      </c>
      <c r="I110" s="7">
        <v>9303.7741999999998</v>
      </c>
      <c r="J110" s="7"/>
      <c r="K110" s="7"/>
      <c r="L110" s="7"/>
      <c r="M110" s="7">
        <v>32111.8387</v>
      </c>
      <c r="N110" s="7">
        <v>53344.615399999995</v>
      </c>
      <c r="O110" s="7">
        <v>42735.94</v>
      </c>
      <c r="Q110" s="1"/>
    </row>
    <row r="111" spans="2:17" x14ac:dyDescent="0.2">
      <c r="B111" s="64">
        <v>2002.9166631000053</v>
      </c>
      <c r="C111" s="47">
        <v>37561</v>
      </c>
      <c r="D111" s="7">
        <v>219</v>
      </c>
      <c r="E111" s="7"/>
      <c r="F111" s="7">
        <v>446</v>
      </c>
      <c r="G111" s="7">
        <v>4320</v>
      </c>
      <c r="H111" s="7">
        <v>1461</v>
      </c>
      <c r="I111" s="7">
        <v>3123</v>
      </c>
      <c r="J111" s="7"/>
      <c r="K111" s="7"/>
      <c r="L111" s="7"/>
      <c r="M111" s="7">
        <v>8660</v>
      </c>
      <c r="N111" s="7">
        <v>18229</v>
      </c>
      <c r="O111" s="7">
        <v>42735.94</v>
      </c>
      <c r="Q111" s="1"/>
    </row>
    <row r="112" spans="2:17" x14ac:dyDescent="0.2">
      <c r="B112" s="64">
        <v>2002.9999964000053</v>
      </c>
      <c r="C112" s="47">
        <v>37591</v>
      </c>
      <c r="D112" s="7">
        <v>198.13</v>
      </c>
      <c r="E112" s="7"/>
      <c r="F112" s="7">
        <v>1261.33</v>
      </c>
      <c r="G112" s="7">
        <v>4196.6451999999999</v>
      </c>
      <c r="H112" s="7">
        <v>1257.8499999999999</v>
      </c>
      <c r="I112" s="7">
        <v>3424.97</v>
      </c>
      <c r="J112" s="7"/>
      <c r="K112" s="7"/>
      <c r="L112" s="7"/>
      <c r="M112" s="7">
        <v>10279.555</v>
      </c>
      <c r="N112" s="7">
        <v>20618.480199999998</v>
      </c>
      <c r="O112" s="7">
        <v>42735.94</v>
      </c>
      <c r="Q112" s="1"/>
    </row>
    <row r="113" spans="2:17" x14ac:dyDescent="0.2">
      <c r="B113" s="64">
        <v>2003.0833297000054</v>
      </c>
      <c r="C113" s="47">
        <v>37622</v>
      </c>
      <c r="D113" s="7">
        <v>252.74189999999999</v>
      </c>
      <c r="E113" s="7"/>
      <c r="F113" s="7">
        <v>1389.4516000000001</v>
      </c>
      <c r="G113" s="7">
        <v>4547.5483999999997</v>
      </c>
      <c r="H113" s="7">
        <v>541.58600000000001</v>
      </c>
      <c r="I113" s="7">
        <v>3103.4194000000002</v>
      </c>
      <c r="J113" s="7"/>
      <c r="K113" s="7"/>
      <c r="L113" s="7"/>
      <c r="M113" s="7">
        <v>13057.741900000001</v>
      </c>
      <c r="N113" s="7">
        <v>22892.4892</v>
      </c>
      <c r="O113" s="7">
        <v>50638.411657999997</v>
      </c>
      <c r="Q113" s="1"/>
    </row>
    <row r="114" spans="2:17" x14ac:dyDescent="0.2">
      <c r="B114" s="64">
        <v>2003.1666630000054</v>
      </c>
      <c r="C114" s="48">
        <v>37653</v>
      </c>
      <c r="D114" s="57">
        <v>233.32</v>
      </c>
      <c r="E114" s="58"/>
      <c r="F114" s="58">
        <v>1092.8900000000001</v>
      </c>
      <c r="G114" s="7">
        <v>4597.18</v>
      </c>
      <c r="H114" s="7">
        <v>689</v>
      </c>
      <c r="I114" s="7">
        <v>3002</v>
      </c>
      <c r="J114" s="7"/>
      <c r="K114" s="7"/>
      <c r="L114" s="7"/>
      <c r="M114" s="7">
        <v>22757.5</v>
      </c>
      <c r="N114" s="7">
        <v>32371.89</v>
      </c>
      <c r="O114" s="51">
        <v>50638.411657999997</v>
      </c>
    </row>
    <row r="115" spans="2:17" x14ac:dyDescent="0.2">
      <c r="B115" s="64">
        <v>2003.2499963000055</v>
      </c>
      <c r="C115" s="47">
        <v>37681</v>
      </c>
      <c r="D115" s="51">
        <v>298.48390000000001</v>
      </c>
      <c r="E115" s="51"/>
      <c r="F115" s="51">
        <v>1294.8387</v>
      </c>
      <c r="G115" s="51">
        <v>6027.1612999999998</v>
      </c>
      <c r="H115" s="51">
        <v>583.43610000000001</v>
      </c>
      <c r="I115" s="51">
        <v>5056.1289999999999</v>
      </c>
      <c r="J115" s="51"/>
      <c r="K115" s="51"/>
      <c r="L115" s="51"/>
      <c r="M115" s="51">
        <v>22899.419399999999</v>
      </c>
      <c r="N115" s="7">
        <v>36159.468399999998</v>
      </c>
      <c r="O115" s="51">
        <v>50638.411657999997</v>
      </c>
    </row>
    <row r="116" spans="2:17" x14ac:dyDescent="0.2">
      <c r="B116" s="64">
        <v>2003.3333296000055</v>
      </c>
      <c r="C116" s="47">
        <v>37712</v>
      </c>
      <c r="D116" s="51">
        <v>358.5333</v>
      </c>
      <c r="E116" s="51"/>
      <c r="F116" s="51">
        <v>1607.1</v>
      </c>
      <c r="G116" s="51">
        <v>5976.6333000000004</v>
      </c>
      <c r="H116" s="51">
        <v>2528.5886999999998</v>
      </c>
      <c r="I116" s="51">
        <v>2442.6667000000002</v>
      </c>
      <c r="J116" s="51"/>
      <c r="K116" s="51"/>
      <c r="L116" s="51"/>
      <c r="M116" s="51">
        <v>15314.8333</v>
      </c>
      <c r="N116" s="7">
        <v>28228.355300000003</v>
      </c>
      <c r="O116" s="51">
        <v>50638.411657999997</v>
      </c>
    </row>
    <row r="117" spans="2:17" x14ac:dyDescent="0.2">
      <c r="B117" s="64">
        <v>2003.4166629000056</v>
      </c>
      <c r="C117" s="47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">
        <v>50697.63</v>
      </c>
      <c r="O117" s="51">
        <v>50638.411657999997</v>
      </c>
    </row>
    <row r="118" spans="2:17" x14ac:dyDescent="0.2">
      <c r="B118" s="64">
        <v>2003.4999962000056</v>
      </c>
      <c r="C118" s="47">
        <v>37773</v>
      </c>
      <c r="D118" s="7">
        <v>678.23</v>
      </c>
      <c r="E118" s="7"/>
      <c r="F118" s="7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">
        <v>66421.34</v>
      </c>
      <c r="O118" s="51">
        <v>50638.411657999997</v>
      </c>
    </row>
    <row r="119" spans="2:17" x14ac:dyDescent="0.2">
      <c r="B119" s="64">
        <v>2003.5833295000057</v>
      </c>
      <c r="C119" s="47">
        <v>37803</v>
      </c>
      <c r="D119" s="7">
        <v>777.35</v>
      </c>
      <c r="E119" s="7"/>
      <c r="F119" s="7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">
        <v>61584.44</v>
      </c>
      <c r="O119" s="51">
        <v>50638.411657999997</v>
      </c>
    </row>
    <row r="120" spans="2:17" x14ac:dyDescent="0.2">
      <c r="B120" s="64">
        <v>2003.6666628000057</v>
      </c>
      <c r="C120" s="47">
        <v>37834</v>
      </c>
      <c r="D120" s="51">
        <v>689.1</v>
      </c>
      <c r="E120" s="51"/>
      <c r="F120" s="7">
        <v>6894</v>
      </c>
      <c r="G120" s="7">
        <v>8812.1299999999992</v>
      </c>
      <c r="H120" s="7">
        <v>437.87</v>
      </c>
      <c r="I120" s="7">
        <v>18219.650000000001</v>
      </c>
      <c r="J120" s="7"/>
      <c r="K120" s="7"/>
      <c r="L120" s="7"/>
      <c r="M120" s="7">
        <v>14265.52</v>
      </c>
      <c r="N120" s="7">
        <v>49318.27</v>
      </c>
      <c r="O120" s="51">
        <v>50638.411657999997</v>
      </c>
    </row>
    <row r="121" spans="2:17" x14ac:dyDescent="0.2">
      <c r="B121" s="64">
        <v>2003.7499961000058</v>
      </c>
      <c r="C121" s="47">
        <v>37865</v>
      </c>
      <c r="D121" s="7">
        <v>802.37</v>
      </c>
      <c r="E121" s="51"/>
      <c r="F121" s="7">
        <v>7013</v>
      </c>
      <c r="G121" s="7">
        <v>9039.1299999999992</v>
      </c>
      <c r="H121" s="7">
        <v>588.45000000000005</v>
      </c>
      <c r="I121" s="7">
        <v>17559.599999999999</v>
      </c>
      <c r="J121" s="7"/>
      <c r="K121" s="7"/>
      <c r="L121" s="7"/>
      <c r="M121" s="51">
        <v>24638.03</v>
      </c>
      <c r="N121" s="7">
        <v>59640.58</v>
      </c>
      <c r="O121" s="51">
        <v>50638.411657999997</v>
      </c>
    </row>
    <row r="122" spans="2:17" x14ac:dyDescent="0.2">
      <c r="B122" s="64">
        <v>2003.8333294000058</v>
      </c>
      <c r="C122" s="47">
        <v>37895</v>
      </c>
      <c r="D122" s="51">
        <v>801.48389999999995</v>
      </c>
      <c r="E122" s="51"/>
      <c r="F122" s="51">
        <v>6387.3870999999999</v>
      </c>
      <c r="G122" s="51">
        <v>8954.3870999999999</v>
      </c>
      <c r="H122" s="51">
        <v>4520.5826999999999</v>
      </c>
      <c r="I122" s="51">
        <v>16112.096799999999</v>
      </c>
      <c r="J122" s="51"/>
      <c r="K122" s="51"/>
      <c r="L122" s="51"/>
      <c r="M122" s="51">
        <v>41209.424200000001</v>
      </c>
      <c r="N122" s="7">
        <v>77985.361799999999</v>
      </c>
      <c r="O122" s="51">
        <v>50638.411657999997</v>
      </c>
    </row>
    <row r="123" spans="2:17" x14ac:dyDescent="0.2">
      <c r="B123" s="64">
        <v>2003.9166627000059</v>
      </c>
      <c r="C123" s="47">
        <v>37926</v>
      </c>
      <c r="D123" s="51">
        <v>996.9</v>
      </c>
      <c r="E123" s="51"/>
      <c r="F123" s="51">
        <v>5661.0333000000001</v>
      </c>
      <c r="G123" s="51">
        <v>8588.1332999999995</v>
      </c>
      <c r="H123" s="51">
        <v>3719.0868999999998</v>
      </c>
      <c r="I123" s="51">
        <v>16759.866699999999</v>
      </c>
      <c r="J123" s="51"/>
      <c r="K123" s="51"/>
      <c r="L123" s="51"/>
      <c r="M123" s="51">
        <v>41253.633300000001</v>
      </c>
      <c r="N123" s="7">
        <v>76978.6535</v>
      </c>
      <c r="O123" s="51">
        <v>50638.411657999997</v>
      </c>
    </row>
    <row r="124" spans="2:17" x14ac:dyDescent="0.2">
      <c r="B124" s="64">
        <v>2003.9999960000059</v>
      </c>
      <c r="C124" s="47">
        <v>37956</v>
      </c>
      <c r="D124" s="51">
        <v>992.12900000000002</v>
      </c>
      <c r="E124" s="51"/>
      <c r="F124" s="51">
        <v>1769.6129000000001</v>
      </c>
      <c r="G124" s="51">
        <v>5616.5806000000002</v>
      </c>
      <c r="H124" s="51">
        <v>1908.4239</v>
      </c>
      <c r="I124" s="51">
        <v>4543.9031999999997</v>
      </c>
      <c r="J124" s="51"/>
      <c r="K124" s="51"/>
      <c r="L124" s="51"/>
      <c r="M124" s="51">
        <v>29710.512599999998</v>
      </c>
      <c r="N124" s="7">
        <v>44541.162199999999</v>
      </c>
      <c r="O124" s="51">
        <v>50638.411657999997</v>
      </c>
    </row>
    <row r="125" spans="2:17" x14ac:dyDescent="0.2">
      <c r="B125" s="64">
        <v>2004.083329300006</v>
      </c>
      <c r="C125" s="47">
        <v>37987</v>
      </c>
      <c r="D125" s="51">
        <v>975.4194</v>
      </c>
      <c r="E125" s="51"/>
      <c r="F125" s="51">
        <v>5461.6451999999999</v>
      </c>
      <c r="G125" s="51">
        <v>7158.5160999999998</v>
      </c>
      <c r="H125" s="51">
        <v>603.51059999999995</v>
      </c>
      <c r="I125" s="51">
        <v>10700.096799999999</v>
      </c>
      <c r="J125" s="51"/>
      <c r="K125" s="51"/>
      <c r="L125" s="51"/>
      <c r="M125" s="51">
        <v>19328.999400000001</v>
      </c>
      <c r="N125" s="7">
        <v>44228.1875</v>
      </c>
      <c r="O125" s="7">
        <v>82939</v>
      </c>
    </row>
    <row r="126" spans="2:17" x14ac:dyDescent="0.2">
      <c r="B126" s="64">
        <v>2004.166662600006</v>
      </c>
      <c r="C126" s="47">
        <v>38018</v>
      </c>
      <c r="D126" s="51">
        <v>1043.4138</v>
      </c>
      <c r="E126" s="51"/>
      <c r="F126" s="51">
        <v>3674.0345000000002</v>
      </c>
      <c r="G126" s="51">
        <v>7074.3447999999999</v>
      </c>
      <c r="H126" s="51">
        <v>199.786</v>
      </c>
      <c r="I126" s="51">
        <v>7132.9655000000002</v>
      </c>
      <c r="J126" s="51"/>
      <c r="K126" s="51"/>
      <c r="L126" s="51"/>
      <c r="M126" s="51">
        <v>14963.310299999999</v>
      </c>
      <c r="N126" s="7">
        <v>34087.854899999998</v>
      </c>
      <c r="O126" s="7">
        <v>82939</v>
      </c>
    </row>
    <row r="127" spans="2:17" x14ac:dyDescent="0.2">
      <c r="B127" s="64">
        <v>2004.2499959000061</v>
      </c>
      <c r="C127" s="47">
        <v>38047</v>
      </c>
      <c r="D127" s="51">
        <v>994.32258064516134</v>
      </c>
      <c r="E127" s="51"/>
      <c r="F127" s="51">
        <v>2840.4516129032259</v>
      </c>
      <c r="G127" s="51">
        <v>5957.677419354839</v>
      </c>
      <c r="H127" s="51">
        <v>194.4539</v>
      </c>
      <c r="I127" s="51">
        <v>5089.0968000000003</v>
      </c>
      <c r="J127" s="51"/>
      <c r="K127" s="51"/>
      <c r="L127" s="51"/>
      <c r="M127" s="51">
        <v>28174.254199999999</v>
      </c>
      <c r="N127" s="51">
        <v>43250.260399999999</v>
      </c>
      <c r="O127" s="7">
        <v>82939</v>
      </c>
    </row>
    <row r="128" spans="2:17" x14ac:dyDescent="0.2">
      <c r="B128" s="64">
        <v>2004.3333292000061</v>
      </c>
      <c r="C128" s="47">
        <v>38078</v>
      </c>
      <c r="D128" s="51">
        <v>1703.1</v>
      </c>
      <c r="E128" s="51"/>
      <c r="F128" s="51">
        <v>2745.6666666666665</v>
      </c>
      <c r="G128" s="51">
        <v>7327.7333333333336</v>
      </c>
      <c r="H128" s="51">
        <v>4798.4635933333329</v>
      </c>
      <c r="I128" s="51">
        <v>7992.6333333333332</v>
      </c>
      <c r="J128" s="51"/>
      <c r="K128" s="51"/>
      <c r="L128" s="51"/>
      <c r="M128" s="51">
        <v>37862.033333333333</v>
      </c>
      <c r="N128" s="7">
        <v>62429.630259999998</v>
      </c>
      <c r="O128" s="7">
        <v>82939</v>
      </c>
    </row>
    <row r="129" spans="2:16" x14ac:dyDescent="0.2">
      <c r="B129" s="64">
        <v>2004.4166625000062</v>
      </c>
      <c r="C129" s="47">
        <v>38108</v>
      </c>
      <c r="D129" s="51">
        <v>2349.2580645161293</v>
      </c>
      <c r="E129" s="51"/>
      <c r="F129" s="51">
        <v>4157.5483870967746</v>
      </c>
      <c r="G129" s="51">
        <v>9791.9032258064508</v>
      </c>
      <c r="H129" s="51">
        <v>4748.7606451612901</v>
      </c>
      <c r="I129" s="51">
        <v>17708.580645161292</v>
      </c>
      <c r="J129" s="51"/>
      <c r="K129" s="51"/>
      <c r="L129" s="51"/>
      <c r="M129" s="51">
        <v>46036.129032258068</v>
      </c>
      <c r="N129" s="7">
        <v>84792.18</v>
      </c>
      <c r="O129" s="7">
        <v>82939</v>
      </c>
    </row>
    <row r="130" spans="2:16" x14ac:dyDescent="0.2">
      <c r="B130" s="64">
        <v>2004.4999958000062</v>
      </c>
      <c r="C130" s="47">
        <v>38139</v>
      </c>
      <c r="D130" s="51">
        <v>2284.4333333333334</v>
      </c>
      <c r="E130" s="51"/>
      <c r="F130" s="51">
        <v>5961.7666666666664</v>
      </c>
      <c r="G130" s="51">
        <v>10218.933333333332</v>
      </c>
      <c r="H130" s="51">
        <v>4254.3989433333327</v>
      </c>
      <c r="I130" s="51">
        <v>16231.166666666666</v>
      </c>
      <c r="J130" s="51">
        <v>16994.927970000001</v>
      </c>
      <c r="K130" s="51"/>
      <c r="L130" s="51"/>
      <c r="M130" s="51">
        <v>41499.133333333331</v>
      </c>
      <c r="N130" s="7">
        <v>97444.760246666658</v>
      </c>
      <c r="O130" s="7">
        <v>82939</v>
      </c>
    </row>
    <row r="131" spans="2:16" x14ac:dyDescent="0.2">
      <c r="B131" s="64">
        <v>2004.5833291000063</v>
      </c>
      <c r="C131" s="47">
        <v>38169</v>
      </c>
      <c r="D131" s="51">
        <v>2642.1612903225805</v>
      </c>
      <c r="E131" s="51"/>
      <c r="F131" s="51">
        <v>6258.8387096774195</v>
      </c>
      <c r="G131" s="51">
        <v>9796.8064516129034</v>
      </c>
      <c r="H131" s="51">
        <v>1644.9595290322582</v>
      </c>
      <c r="I131" s="51">
        <v>17946.709677419356</v>
      </c>
      <c r="J131" s="51">
        <v>8845.9112870967747</v>
      </c>
      <c r="K131" s="51"/>
      <c r="L131" s="51"/>
      <c r="M131" s="51">
        <v>44777.677419354841</v>
      </c>
      <c r="N131" s="7">
        <v>91913.064364516133</v>
      </c>
      <c r="O131" s="7">
        <v>82939</v>
      </c>
    </row>
    <row r="132" spans="2:16" x14ac:dyDescent="0.2">
      <c r="B132" s="64">
        <v>2004.6666624000063</v>
      </c>
      <c r="C132" s="47">
        <v>38200</v>
      </c>
      <c r="D132" s="51">
        <v>2850.9677419354839</v>
      </c>
      <c r="E132" s="51"/>
      <c r="F132" s="51">
        <v>6062.4516129032254</v>
      </c>
      <c r="G132" s="51">
        <v>9516.6129032258068</v>
      </c>
      <c r="H132" s="51">
        <v>226.85164516129032</v>
      </c>
      <c r="I132" s="51">
        <v>17718</v>
      </c>
      <c r="J132" s="51">
        <v>10124.549174193548</v>
      </c>
      <c r="K132" s="51"/>
      <c r="L132" s="51"/>
      <c r="M132" s="51">
        <v>45766.838709677417</v>
      </c>
      <c r="N132" s="7">
        <v>92266.271787096775</v>
      </c>
      <c r="O132" s="7">
        <v>82939</v>
      </c>
    </row>
    <row r="133" spans="2:16" x14ac:dyDescent="0.2">
      <c r="B133" s="64">
        <v>2004.7499957000064</v>
      </c>
      <c r="C133" s="47">
        <v>38231</v>
      </c>
      <c r="D133" s="51">
        <v>2986.7333333333331</v>
      </c>
      <c r="E133" s="51"/>
      <c r="F133" s="51">
        <v>6162.2333333333336</v>
      </c>
      <c r="G133" s="51">
        <v>10056.233333333334</v>
      </c>
      <c r="H133" s="51">
        <v>150.46316666666669</v>
      </c>
      <c r="I133" s="51">
        <v>17030.233333333334</v>
      </c>
      <c r="J133" s="51">
        <v>40918.236383333337</v>
      </c>
      <c r="K133" s="51"/>
      <c r="L133" s="51"/>
      <c r="M133" s="51">
        <v>45198.400000000001</v>
      </c>
      <c r="N133" s="7">
        <v>122502.53288333333</v>
      </c>
      <c r="O133" s="7">
        <v>82939</v>
      </c>
    </row>
    <row r="134" spans="2:16" x14ac:dyDescent="0.2">
      <c r="B134" s="64">
        <v>2004.8333290000064</v>
      </c>
      <c r="C134" s="47">
        <v>38261</v>
      </c>
      <c r="D134" s="51">
        <v>2032.4193548387098</v>
      </c>
      <c r="E134" s="51"/>
      <c r="F134" s="51">
        <v>3968.7096774193546</v>
      </c>
      <c r="G134" s="51">
        <v>10034.451612903225</v>
      </c>
      <c r="H134" s="51">
        <v>138.57876129032257</v>
      </c>
      <c r="I134" s="51">
        <v>12171.806451612903</v>
      </c>
      <c r="J134" s="51">
        <v>53773.327806451613</v>
      </c>
      <c r="K134" s="51"/>
      <c r="L134" s="51"/>
      <c r="M134" s="51">
        <v>43590.903225806454</v>
      </c>
      <c r="N134" s="7">
        <v>125710.1969</v>
      </c>
      <c r="O134" s="7">
        <v>82939</v>
      </c>
    </row>
    <row r="135" spans="2:16" x14ac:dyDescent="0.2">
      <c r="B135" s="64">
        <v>2004.9166623000065</v>
      </c>
      <c r="C135" s="47">
        <v>38292</v>
      </c>
      <c r="D135" s="51">
        <v>3075.2</v>
      </c>
      <c r="E135" s="51"/>
      <c r="F135" s="51">
        <v>787.4666666666667</v>
      </c>
      <c r="G135" s="51">
        <v>5725.4</v>
      </c>
      <c r="H135" s="51">
        <v>479.14058666666665</v>
      </c>
      <c r="I135" s="51">
        <v>315.53333333333336</v>
      </c>
      <c r="J135" s="51">
        <v>62531.259056666662</v>
      </c>
      <c r="K135" s="51"/>
      <c r="L135" s="51"/>
      <c r="M135" s="51">
        <v>41357</v>
      </c>
      <c r="N135" s="7">
        <v>114270.99964333333</v>
      </c>
      <c r="O135" s="7">
        <v>82939</v>
      </c>
    </row>
    <row r="136" spans="2:16" x14ac:dyDescent="0.2">
      <c r="B136" s="64">
        <v>2004.9999956000065</v>
      </c>
      <c r="C136" s="47">
        <v>38322</v>
      </c>
      <c r="D136" s="51">
        <v>2887.1612903225805</v>
      </c>
      <c r="E136" s="51"/>
      <c r="F136" s="51">
        <v>1486.8064516129032</v>
      </c>
      <c r="G136" s="51">
        <v>7920.4516129032254</v>
      </c>
      <c r="H136" s="51">
        <v>3693.2959451612901</v>
      </c>
      <c r="I136" s="51">
        <v>3445.7419354838707</v>
      </c>
      <c r="J136" s="51">
        <v>37561.92538064516</v>
      </c>
      <c r="K136" s="51"/>
      <c r="L136" s="51"/>
      <c r="M136" s="51">
        <v>24318.451612903227</v>
      </c>
      <c r="N136" s="7">
        <v>81313.834229032262</v>
      </c>
      <c r="O136" s="7">
        <v>82939</v>
      </c>
    </row>
    <row r="137" spans="2:16" x14ac:dyDescent="0.2">
      <c r="B137" s="64">
        <v>2005.0833289000066</v>
      </c>
      <c r="C137" s="47">
        <v>38353</v>
      </c>
      <c r="D137" s="51">
        <v>2685.516129032258</v>
      </c>
      <c r="E137" s="51"/>
      <c r="F137" s="51">
        <v>815.32258064516134</v>
      </c>
      <c r="G137" s="51">
        <v>7065.0645161290322</v>
      </c>
      <c r="H137" s="51">
        <v>533.04144838709669</v>
      </c>
      <c r="I137" s="51">
        <v>70.451612903225808</v>
      </c>
      <c r="J137" s="51">
        <v>53509.469799999999</v>
      </c>
      <c r="K137" s="51"/>
      <c r="L137" s="51"/>
      <c r="M137" s="51">
        <v>35513.967741935485</v>
      </c>
      <c r="N137" s="7">
        <v>100192.83382903226</v>
      </c>
      <c r="O137" s="7">
        <v>146156.52600000001</v>
      </c>
    </row>
    <row r="138" spans="2:16" x14ac:dyDescent="0.2">
      <c r="B138" s="64">
        <v>2005.1666622000066</v>
      </c>
      <c r="C138" s="47">
        <v>38384</v>
      </c>
      <c r="D138" s="51">
        <v>0</v>
      </c>
      <c r="E138" s="51"/>
      <c r="F138" s="51">
        <v>512.53571428571433</v>
      </c>
      <c r="G138" s="51">
        <v>7549.1785714285716</v>
      </c>
      <c r="H138" s="51">
        <v>244.90881428571427</v>
      </c>
      <c r="I138" s="51">
        <v>0</v>
      </c>
      <c r="J138" s="51">
        <v>44031.444407142859</v>
      </c>
      <c r="K138" s="51"/>
      <c r="L138" s="51"/>
      <c r="M138" s="51">
        <v>35884.607142857145</v>
      </c>
      <c r="N138" s="7">
        <v>88222.674650000001</v>
      </c>
      <c r="O138" s="7">
        <v>146156.52600000001</v>
      </c>
    </row>
    <row r="139" spans="2:16" x14ac:dyDescent="0.2">
      <c r="B139" s="64">
        <v>2005.2499955000067</v>
      </c>
      <c r="C139" s="47">
        <v>38412</v>
      </c>
      <c r="D139" s="51">
        <v>1638.483870967742</v>
      </c>
      <c r="E139" s="51"/>
      <c r="F139" s="51">
        <v>851.35483870967744</v>
      </c>
      <c r="G139" s="51">
        <v>6464.5161290322585</v>
      </c>
      <c r="H139" s="51">
        <v>260.94517419354838</v>
      </c>
      <c r="I139" s="51">
        <v>0</v>
      </c>
      <c r="J139" s="51">
        <v>49118.821858064519</v>
      </c>
      <c r="K139" s="51"/>
      <c r="L139" s="51"/>
      <c r="M139" s="51">
        <v>38338.225806451614</v>
      </c>
      <c r="N139" s="7">
        <v>96672.34767741937</v>
      </c>
      <c r="O139" s="7">
        <v>146156.52600000001</v>
      </c>
    </row>
    <row r="140" spans="2:16" x14ac:dyDescent="0.2">
      <c r="B140" s="64">
        <v>2005.3333288000067</v>
      </c>
      <c r="C140" s="47">
        <v>38443</v>
      </c>
      <c r="D140" s="59">
        <v>2416.1999999999998</v>
      </c>
      <c r="E140" s="51"/>
      <c r="F140" s="51">
        <v>1014.4</v>
      </c>
      <c r="G140" s="51">
        <v>5698.7667000000001</v>
      </c>
      <c r="H140" s="51">
        <v>1497.1072999999999</v>
      </c>
      <c r="I140" s="51">
        <v>0</v>
      </c>
      <c r="J140" s="51">
        <v>52140.207900000001</v>
      </c>
      <c r="K140" s="51"/>
      <c r="L140" s="51"/>
      <c r="M140" s="51">
        <v>39113.9</v>
      </c>
      <c r="N140" s="51">
        <v>101880.5819</v>
      </c>
      <c r="O140" s="7">
        <v>146156.52600000001</v>
      </c>
    </row>
    <row r="141" spans="2:16" x14ac:dyDescent="0.2">
      <c r="B141" s="64">
        <v>2005.4166621000068</v>
      </c>
      <c r="C141" s="47">
        <v>38473</v>
      </c>
      <c r="D141" s="51">
        <v>2828.19</v>
      </c>
      <c r="E141" s="7"/>
      <c r="F141" s="7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1">
        <v>151397.71</v>
      </c>
      <c r="O141" s="7">
        <v>146156.52600000001</v>
      </c>
    </row>
    <row r="142" spans="2:16" x14ac:dyDescent="0.2">
      <c r="B142" s="64">
        <v>2005.4999954000068</v>
      </c>
      <c r="C142" s="47">
        <v>38504</v>
      </c>
      <c r="D142" s="51">
        <v>3024.3667</v>
      </c>
      <c r="E142"/>
      <c r="F142" s="7">
        <v>5211.8666999999996</v>
      </c>
      <c r="G142" s="7">
        <v>11226.6667</v>
      </c>
      <c r="H142" s="7">
        <v>2693.1374000000001</v>
      </c>
      <c r="I142" s="7">
        <v>14010.2333</v>
      </c>
      <c r="J142" s="7">
        <v>94232.951199999996</v>
      </c>
      <c r="K142" s="7"/>
      <c r="L142" s="7"/>
      <c r="M142" s="7">
        <v>45058.2667</v>
      </c>
      <c r="N142" s="51">
        <v>175457.48869999999</v>
      </c>
      <c r="O142" s="7">
        <v>146156.52600000001</v>
      </c>
    </row>
    <row r="143" spans="2:16" x14ac:dyDescent="0.2">
      <c r="B143" s="64">
        <v>2005.5833287000069</v>
      </c>
      <c r="C143" s="47">
        <v>38534</v>
      </c>
      <c r="D143" s="51">
        <v>3005</v>
      </c>
      <c r="E143"/>
      <c r="F143" s="7">
        <v>4683.32</v>
      </c>
      <c r="G143" s="7">
        <v>10761</v>
      </c>
      <c r="H143" s="7">
        <v>1624.82</v>
      </c>
      <c r="I143" s="7">
        <v>15603.41</v>
      </c>
      <c r="J143" s="7">
        <v>103530.74</v>
      </c>
      <c r="K143" s="7"/>
      <c r="L143" s="7"/>
      <c r="M143" s="7">
        <v>46065.709699999999</v>
      </c>
      <c r="N143" s="51">
        <v>185273.99970000001</v>
      </c>
      <c r="O143" s="7">
        <v>146156.52600000001</v>
      </c>
      <c r="P143" t="s">
        <v>47</v>
      </c>
    </row>
    <row r="144" spans="2:16" x14ac:dyDescent="0.2">
      <c r="B144" s="64">
        <v>2005.6666620000069</v>
      </c>
      <c r="C144" s="47">
        <v>38565</v>
      </c>
      <c r="D144" s="51">
        <v>3116.6451999999999</v>
      </c>
      <c r="E144" s="45"/>
      <c r="F144" s="51">
        <v>4847.4193999999998</v>
      </c>
      <c r="G144" s="45">
        <v>12450.806500000001</v>
      </c>
      <c r="H144" s="51">
        <v>405.04649999999998</v>
      </c>
      <c r="I144" s="51">
        <v>17158.967700000001</v>
      </c>
      <c r="J144" s="51">
        <v>97782.377600000007</v>
      </c>
      <c r="K144" s="51"/>
      <c r="L144" s="51"/>
      <c r="M144" s="51">
        <v>42929.806499999999</v>
      </c>
      <c r="N144" s="51">
        <v>178691.06940000001</v>
      </c>
      <c r="O144" s="7">
        <v>146156.52600000001</v>
      </c>
    </row>
    <row r="145" spans="2:17" x14ac:dyDescent="0.2">
      <c r="B145" s="64">
        <v>2005.749995300007</v>
      </c>
      <c r="C145" s="47">
        <v>38596</v>
      </c>
      <c r="D145" s="51">
        <v>2995.8667</v>
      </c>
      <c r="E145"/>
      <c r="F145" s="51">
        <v>5012.3</v>
      </c>
      <c r="G145" s="7">
        <v>12009.233</v>
      </c>
      <c r="H145" s="51">
        <v>159.45249999999999</v>
      </c>
      <c r="I145" s="51">
        <v>17436</v>
      </c>
      <c r="J145" s="51">
        <v>105207.798</v>
      </c>
      <c r="K145" s="51"/>
      <c r="L145" s="51"/>
      <c r="M145" s="51">
        <v>45395.6</v>
      </c>
      <c r="N145" s="51">
        <v>188216.25020000001</v>
      </c>
      <c r="O145" s="7">
        <v>146156.52600000001</v>
      </c>
    </row>
    <row r="146" spans="2:17" x14ac:dyDescent="0.2">
      <c r="B146" s="64">
        <v>2005.833328600007</v>
      </c>
      <c r="C146" s="47">
        <v>38626</v>
      </c>
      <c r="D146" s="51">
        <v>2999.1934999999999</v>
      </c>
      <c r="E146"/>
      <c r="F146" s="51">
        <v>4129.6129000000001</v>
      </c>
      <c r="G146" s="7">
        <v>12750.290300000001</v>
      </c>
      <c r="H146" s="51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1">
        <v>134064.8603</v>
      </c>
      <c r="O146" s="7">
        <v>146156.52600000001</v>
      </c>
    </row>
    <row r="147" spans="2:17" x14ac:dyDescent="0.2">
      <c r="B147" s="64">
        <v>2005.9166619000071</v>
      </c>
      <c r="C147" s="47">
        <v>38657</v>
      </c>
      <c r="D147" s="60">
        <v>3039.9333000000001</v>
      </c>
      <c r="E147"/>
      <c r="F147" s="51">
        <v>4937.7</v>
      </c>
      <c r="G147" s="7">
        <v>12383.2667</v>
      </c>
      <c r="H147" s="51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1">
        <v>184670.04740000001</v>
      </c>
      <c r="O147" s="7">
        <v>146156.52600000001</v>
      </c>
    </row>
    <row r="148" spans="2:17" x14ac:dyDescent="0.2">
      <c r="B148" s="64">
        <v>2005.9999952000071</v>
      </c>
      <c r="C148" s="47">
        <v>38687</v>
      </c>
      <c r="D148" s="60">
        <v>2979.4839000000002</v>
      </c>
      <c r="E148"/>
      <c r="F148" s="51">
        <v>2287.0645</v>
      </c>
      <c r="G148" s="7">
        <v>11221.3226</v>
      </c>
      <c r="H148" s="51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1">
        <v>165647.90149999998</v>
      </c>
      <c r="O148" s="7">
        <v>146156.52600000001</v>
      </c>
    </row>
    <row r="149" spans="2:17" x14ac:dyDescent="0.2">
      <c r="B149" s="64">
        <v>2006.0833285000072</v>
      </c>
      <c r="C149" s="47">
        <v>38718</v>
      </c>
      <c r="D149" s="60">
        <v>2813.7419</v>
      </c>
      <c r="E149"/>
      <c r="F149" s="51">
        <v>1980.7419</v>
      </c>
      <c r="G149" s="7">
        <v>9748.0645000000004</v>
      </c>
      <c r="H149" s="51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1">
        <v>129026.58370000002</v>
      </c>
      <c r="O149" s="7">
        <v>171756.4713</v>
      </c>
    </row>
    <row r="150" spans="2:17" x14ac:dyDescent="0.2">
      <c r="B150" s="64">
        <v>2006.1666618000072</v>
      </c>
      <c r="C150" s="47">
        <v>38749</v>
      </c>
      <c r="D150" s="60">
        <v>1454.6786</v>
      </c>
      <c r="E150"/>
      <c r="F150" s="51">
        <v>224.71430000000001</v>
      </c>
      <c r="G150" s="7">
        <v>6970.5357000000004</v>
      </c>
      <c r="H150" s="51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64">
        <v>2006.2499951000073</v>
      </c>
      <c r="C151" s="47">
        <v>38777</v>
      </c>
      <c r="D151" s="62">
        <v>2411.9032000000002</v>
      </c>
      <c r="E151" s="4"/>
      <c r="F151" s="62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64">
        <v>2006.3333284000073</v>
      </c>
      <c r="C152" s="47">
        <v>38808</v>
      </c>
      <c r="D152" s="62">
        <v>3153.4666999999999</v>
      </c>
      <c r="E152" s="61"/>
      <c r="F152" s="62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64">
        <v>2006.4166617000074</v>
      </c>
      <c r="C153" s="47">
        <v>38838</v>
      </c>
      <c r="D153" s="62">
        <v>3054.6129000000001</v>
      </c>
      <c r="E153" s="61"/>
      <c r="F153" s="7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64">
        <v>2006.4999950000074</v>
      </c>
      <c r="C154" s="47">
        <v>38869</v>
      </c>
      <c r="D154" s="62">
        <v>2919.0666999999999</v>
      </c>
      <c r="E154" s="62"/>
      <c r="F154" s="62">
        <v>3639.6333</v>
      </c>
      <c r="G154" s="62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64">
        <v>2006.5833283000075</v>
      </c>
      <c r="C155" s="47">
        <v>38899</v>
      </c>
      <c r="D155" s="51">
        <v>2841.2581</v>
      </c>
      <c r="E155" s="63"/>
      <c r="F155" s="51">
        <v>3543.5805999999998</v>
      </c>
      <c r="G155" s="51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64">
        <v>2006.6666616000075</v>
      </c>
      <c r="C156" s="47">
        <v>38930</v>
      </c>
      <c r="D156" s="51">
        <v>2865.9032000000002</v>
      </c>
      <c r="E156" s="63"/>
      <c r="F156" s="51">
        <v>3443.2903000000001</v>
      </c>
      <c r="G156" s="51">
        <v>11723.6129</v>
      </c>
      <c r="H156" s="7">
        <v>1013.5247000000001</v>
      </c>
      <c r="I156" s="51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64">
        <v>2006.7499949000076</v>
      </c>
      <c r="C157" s="47">
        <v>38961</v>
      </c>
      <c r="D157" s="51">
        <v>3012.9666666666667</v>
      </c>
      <c r="E157" s="61"/>
      <c r="F157" s="7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64">
        <v>2006.8333282000076</v>
      </c>
      <c r="C158" s="47">
        <v>38991</v>
      </c>
      <c r="D158" s="51">
        <v>3047.6129000000001</v>
      </c>
      <c r="E158" s="61"/>
      <c r="F158" s="7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64">
        <v>2006.9166615000076</v>
      </c>
      <c r="C159" s="47">
        <v>39022</v>
      </c>
      <c r="D159" s="51">
        <v>2986.0666999999999</v>
      </c>
      <c r="E159" s="61"/>
      <c r="F159" s="7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64">
        <v>2006.9999948000077</v>
      </c>
      <c r="C160" s="47">
        <v>39052</v>
      </c>
      <c r="D160" s="51">
        <v>3018.5484000000001</v>
      </c>
      <c r="E160" s="61"/>
      <c r="F160" s="7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64">
        <v>2007.0833281000077</v>
      </c>
      <c r="C161" s="47">
        <v>39083</v>
      </c>
      <c r="D161" s="51">
        <v>2556.0645</v>
      </c>
      <c r="E161" s="65"/>
      <c r="F161" s="51">
        <v>2823.0322999999999</v>
      </c>
      <c r="G161" s="65">
        <v>8295.5161000000007</v>
      </c>
      <c r="H161" s="65">
        <v>1036.4909</v>
      </c>
      <c r="I161" s="65">
        <v>11182.739299999999</v>
      </c>
      <c r="J161" s="65">
        <v>136565.1869</v>
      </c>
      <c r="K161" s="65"/>
      <c r="L161" s="65"/>
      <c r="M161" s="65">
        <v>21357.806499999999</v>
      </c>
      <c r="N161" s="66">
        <f t="shared" si="1"/>
        <v>183816.8365</v>
      </c>
      <c r="O161" s="51">
        <v>258864.38649999999</v>
      </c>
    </row>
    <row r="162" spans="2:15" x14ac:dyDescent="0.2">
      <c r="B162" s="64">
        <v>2007.1666614000078</v>
      </c>
      <c r="C162" s="47">
        <v>39114</v>
      </c>
      <c r="D162" s="59">
        <v>3761.6428999999998</v>
      </c>
      <c r="E162" s="65"/>
      <c r="F162" s="59">
        <v>2972.5713999999998</v>
      </c>
      <c r="G162" s="65">
        <v>8535.0357000000004</v>
      </c>
      <c r="H162" s="65">
        <v>886.05820000000006</v>
      </c>
      <c r="I162" s="65">
        <v>12902.579900000001</v>
      </c>
      <c r="J162" s="65">
        <v>137099.50570000001</v>
      </c>
      <c r="K162" s="65"/>
      <c r="L162" s="65"/>
      <c r="M162" s="65">
        <v>26480.7857</v>
      </c>
      <c r="N162" s="65">
        <f t="shared" si="1"/>
        <v>192638.17950000003</v>
      </c>
      <c r="O162" s="51">
        <f t="shared" ref="O162:O172" si="2">+O161</f>
        <v>258864.38649999999</v>
      </c>
    </row>
    <row r="163" spans="2:15" x14ac:dyDescent="0.2">
      <c r="B163" s="64">
        <v>2007.2499947000078</v>
      </c>
      <c r="C163" s="47">
        <v>39142</v>
      </c>
      <c r="D163" s="59">
        <v>3590.1289999999999</v>
      </c>
      <c r="E163" s="65"/>
      <c r="F163" s="59">
        <v>2758.6451999999999</v>
      </c>
      <c r="G163" s="65">
        <v>9131.4194000000007</v>
      </c>
      <c r="H163" s="65">
        <v>1185.3715</v>
      </c>
      <c r="I163" s="65">
        <v>11947.1198</v>
      </c>
      <c r="J163" s="65">
        <v>145014.10490000001</v>
      </c>
      <c r="K163" s="65"/>
      <c r="L163" s="65"/>
      <c r="M163" s="65">
        <v>39244.4516</v>
      </c>
      <c r="N163" s="65">
        <f t="shared" si="1"/>
        <v>212871.2414</v>
      </c>
      <c r="O163" s="51">
        <f t="shared" si="2"/>
        <v>258864.38649999999</v>
      </c>
    </row>
    <row r="164" spans="2:15" x14ac:dyDescent="0.2">
      <c r="B164" s="64">
        <v>2007.3333280000079</v>
      </c>
      <c r="C164" s="47">
        <v>39173</v>
      </c>
      <c r="D164" s="59">
        <v>2768.5</v>
      </c>
      <c r="E164" s="65"/>
      <c r="F164" s="59">
        <v>1395.4666999999999</v>
      </c>
      <c r="G164" s="65">
        <v>7583.3666999999996</v>
      </c>
      <c r="H164" s="65">
        <v>1592.4337</v>
      </c>
      <c r="I164" s="65">
        <v>7499.0617000000002</v>
      </c>
      <c r="J164" s="65">
        <v>144063.05129999999</v>
      </c>
      <c r="K164" s="65"/>
      <c r="L164" s="65"/>
      <c r="M164" s="65">
        <v>35601.832999999999</v>
      </c>
      <c r="N164" s="65">
        <f t="shared" si="1"/>
        <v>200503.71309999999</v>
      </c>
      <c r="O164" s="51">
        <f t="shared" si="2"/>
        <v>258864.38649999999</v>
      </c>
    </row>
    <row r="165" spans="2:15" x14ac:dyDescent="0.2">
      <c r="B165" s="64">
        <v>2007.4166613000079</v>
      </c>
      <c r="C165" s="47">
        <v>39203</v>
      </c>
      <c r="D165" s="59">
        <f>67525/31</f>
        <v>2178.2258064516127</v>
      </c>
      <c r="E165" s="65"/>
      <c r="F165" s="59">
        <v>116.64516129032258</v>
      </c>
      <c r="G165" s="65">
        <f>193636/31</f>
        <v>6246.322580645161</v>
      </c>
      <c r="H165" s="65">
        <f>71144.4046/31</f>
        <v>2294.9807935483868</v>
      </c>
      <c r="I165" s="65">
        <f>219266.728/31</f>
        <v>7073.1202580645158</v>
      </c>
      <c r="J165" s="65">
        <f>4965877.6319/31</f>
        <v>160189.60102903226</v>
      </c>
      <c r="K165" s="65"/>
      <c r="L165" s="65"/>
      <c r="M165" s="65">
        <f>1273124/31</f>
        <v>41068.516129032258</v>
      </c>
      <c r="N165" s="65">
        <f t="shared" si="1"/>
        <v>219167.41175806453</v>
      </c>
      <c r="O165" s="51">
        <f t="shared" si="2"/>
        <v>258864.38649999999</v>
      </c>
    </row>
    <row r="166" spans="2:15" x14ac:dyDescent="0.2">
      <c r="B166" s="64">
        <v>2007.499994600008</v>
      </c>
      <c r="C166" s="47">
        <v>39234</v>
      </c>
      <c r="D166" s="59">
        <f>131622/30</f>
        <v>4387.3999999999996</v>
      </c>
      <c r="E166" s="59"/>
      <c r="F166" s="59">
        <f>33402/30</f>
        <v>1113.4000000000001</v>
      </c>
      <c r="G166" s="59">
        <f>324439/30</f>
        <v>10814.633333333333</v>
      </c>
      <c r="H166" s="59">
        <f>127634.9212/30</f>
        <v>4254.4973733333336</v>
      </c>
      <c r="I166" s="59">
        <f>509632.6571/30</f>
        <v>16987.755236666668</v>
      </c>
      <c r="J166" s="59">
        <f>5798635.4437/30</f>
        <v>193287.84812333333</v>
      </c>
      <c r="K166" s="59"/>
      <c r="L166" s="59"/>
      <c r="M166" s="59">
        <f>1406806/30</f>
        <v>46893.533333333333</v>
      </c>
      <c r="N166" s="65">
        <f t="shared" si="1"/>
        <v>277739.0674</v>
      </c>
      <c r="O166" s="51">
        <f t="shared" si="2"/>
        <v>258864.38649999999</v>
      </c>
    </row>
    <row r="167" spans="2:15" x14ac:dyDescent="0.2">
      <c r="B167" s="64">
        <v>2007.583327900008</v>
      </c>
      <c r="C167" s="47">
        <v>39264</v>
      </c>
      <c r="D167" s="59">
        <f>148652/31</f>
        <v>4795.2258064516127</v>
      </c>
      <c r="E167" s="59"/>
      <c r="F167" s="59">
        <f>43034/31</f>
        <v>1388.1935483870968</v>
      </c>
      <c r="G167" s="59">
        <f>360447/31</f>
        <v>11627.322580645161</v>
      </c>
      <c r="H167" s="59">
        <f>8988.2119/31</f>
        <v>289.94231935483873</v>
      </c>
      <c r="I167" s="59">
        <f>583097.4465/31</f>
        <v>18809.595048387095</v>
      </c>
      <c r="J167" s="59">
        <f>6758549.9858/31</f>
        <v>218017.74147741936</v>
      </c>
      <c r="K167" s="59"/>
      <c r="L167" s="59"/>
      <c r="M167" s="59">
        <f>1258566/31</f>
        <v>40598.903225806454</v>
      </c>
      <c r="N167" s="65">
        <f t="shared" si="1"/>
        <v>295526.92400645162</v>
      </c>
      <c r="O167" s="51">
        <f t="shared" si="2"/>
        <v>258864.38649999999</v>
      </c>
    </row>
    <row r="168" spans="2:15" x14ac:dyDescent="0.2">
      <c r="B168" s="64">
        <v>2007.6666612000081</v>
      </c>
      <c r="C168" s="47">
        <v>39295</v>
      </c>
      <c r="D168" s="59">
        <f>147061/31</f>
        <v>4743.9032258064517</v>
      </c>
      <c r="E168" s="59"/>
      <c r="F168" s="59">
        <f>92052/31</f>
        <v>2969.4193548387098</v>
      </c>
      <c r="G168" s="59">
        <f>370425/31</f>
        <v>11949.193548387097</v>
      </c>
      <c r="H168" s="59">
        <f>13843.9852/31</f>
        <v>446.58016774193544</v>
      </c>
      <c r="I168" s="59">
        <f>541516.8948/31</f>
        <v>17468.28692903226</v>
      </c>
      <c r="J168" s="59">
        <f>7011537.8028/31</f>
        <v>226178.63879999999</v>
      </c>
      <c r="K168" s="59"/>
      <c r="L168" s="59"/>
      <c r="M168" s="59">
        <f>1382189/31</f>
        <v>44586.741935483871</v>
      </c>
      <c r="N168" s="65">
        <f t="shared" si="1"/>
        <v>308342.7639612903</v>
      </c>
      <c r="O168" s="51">
        <f t="shared" si="2"/>
        <v>258864.38649999999</v>
      </c>
    </row>
    <row r="169" spans="2:15" x14ac:dyDescent="0.2">
      <c r="B169" s="64">
        <v>2007.7499945000081</v>
      </c>
      <c r="C169" s="47">
        <v>39326</v>
      </c>
      <c r="D169" s="59">
        <f>141949/30</f>
        <v>4731.6333333333332</v>
      </c>
      <c r="E169" s="59"/>
      <c r="F169" s="59">
        <f>66438/30</f>
        <v>2214.6</v>
      </c>
      <c r="G169" s="59">
        <f>351876/30</f>
        <v>11729.2</v>
      </c>
      <c r="H169" s="59">
        <f>3889.4598/30</f>
        <v>129.64866000000001</v>
      </c>
      <c r="I169" s="59">
        <f>547066.6944/30</f>
        <v>18235.556480000003</v>
      </c>
      <c r="J169" s="59">
        <f>6664554.1231/30</f>
        <v>222151.80410333336</v>
      </c>
      <c r="K169" s="59"/>
      <c r="L169" s="59"/>
      <c r="M169" s="59">
        <f>1250881/30</f>
        <v>41696.033333333333</v>
      </c>
      <c r="N169" s="65">
        <f t="shared" si="1"/>
        <v>300888.47591000004</v>
      </c>
      <c r="O169" s="51">
        <f t="shared" si="2"/>
        <v>258864.38649999999</v>
      </c>
    </row>
    <row r="170" spans="2:15" x14ac:dyDescent="0.2">
      <c r="B170" s="64">
        <v>2007.8333278000082</v>
      </c>
      <c r="C170" s="47">
        <v>39356</v>
      </c>
      <c r="D170" s="59">
        <f>142730/31</f>
        <v>4604.1935483870966</v>
      </c>
      <c r="E170" s="59"/>
      <c r="F170" s="59">
        <f>61814/31</f>
        <v>1994</v>
      </c>
      <c r="G170" s="59">
        <f>368522/31</f>
        <v>11887.806451612903</v>
      </c>
      <c r="H170" s="59">
        <f>3862.4371/31</f>
        <v>124.59474516129032</v>
      </c>
      <c r="I170" s="59">
        <f>531574.6273/31</f>
        <v>17147.568622580646</v>
      </c>
      <c r="J170" s="59">
        <f>6983000.7848/31</f>
        <v>225258.08983225806</v>
      </c>
      <c r="K170" s="59"/>
      <c r="L170" s="59"/>
      <c r="M170" s="59">
        <f>1384103/31</f>
        <v>44648.483870967742</v>
      </c>
      <c r="N170" s="65">
        <f t="shared" si="1"/>
        <v>305664.73707096773</v>
      </c>
      <c r="O170" s="51">
        <f t="shared" si="2"/>
        <v>258864.38649999999</v>
      </c>
    </row>
    <row r="171" spans="2:15" x14ac:dyDescent="0.2">
      <c r="B171" s="64">
        <v>2007.9166611000101</v>
      </c>
      <c r="C171" s="47">
        <v>39387</v>
      </c>
      <c r="D171" s="59">
        <f>138814/30</f>
        <v>4627.1333333333332</v>
      </c>
      <c r="E171" s="59"/>
      <c r="F171" s="59">
        <f>69191/30</f>
        <v>2306.3666666666668</v>
      </c>
      <c r="G171" s="59">
        <f>340665/30</f>
        <v>11355.5</v>
      </c>
      <c r="H171" s="59">
        <f>34524.1727/30</f>
        <v>1150.8057566666669</v>
      </c>
      <c r="I171" s="59">
        <f>418442.7577/30</f>
        <v>13948.091923333333</v>
      </c>
      <c r="J171" s="59">
        <f>7018882.1768/30</f>
        <v>233962.73922666666</v>
      </c>
      <c r="K171" s="59"/>
      <c r="L171" s="59"/>
      <c r="M171" s="59">
        <f>1268667/30</f>
        <v>42288.9</v>
      </c>
      <c r="N171" s="65">
        <f t="shared" si="1"/>
        <v>309639.5369066667</v>
      </c>
      <c r="O171" s="51">
        <f t="shared" si="2"/>
        <v>258864.38649999999</v>
      </c>
    </row>
    <row r="172" spans="2:15" x14ac:dyDescent="0.2">
      <c r="B172" s="64">
        <v>2007.9999944000101</v>
      </c>
      <c r="C172" s="47">
        <v>39417</v>
      </c>
      <c r="D172" s="59">
        <f>152680/31</f>
        <v>4925.1612903225805</v>
      </c>
      <c r="E172" s="59"/>
      <c r="F172" s="59">
        <f>83478/31</f>
        <v>2692.8387096774195</v>
      </c>
      <c r="G172" s="59">
        <f>372808/31</f>
        <v>12026.064516129032</v>
      </c>
      <c r="H172" s="59">
        <f>35598.9894/31</f>
        <v>1148.3544967741934</v>
      </c>
      <c r="I172" s="59">
        <f>479380.1485/31</f>
        <v>15463.875758064516</v>
      </c>
      <c r="J172" s="59">
        <f>6915343.7321/31</f>
        <v>223075.60426129031</v>
      </c>
      <c r="K172" s="59"/>
      <c r="L172" s="59"/>
      <c r="M172" s="59">
        <f>1102132/31</f>
        <v>35552.645161290326</v>
      </c>
      <c r="N172" s="65">
        <f t="shared" si="1"/>
        <v>294884.54419354838</v>
      </c>
      <c r="O172" s="51">
        <f t="shared" si="2"/>
        <v>258864.38649999999</v>
      </c>
    </row>
    <row r="173" spans="2:15" x14ac:dyDescent="0.2">
      <c r="B173" s="64">
        <v>2008.0833277000099</v>
      </c>
      <c r="C173" s="47">
        <v>39448</v>
      </c>
      <c r="D173" s="59">
        <f>152320/31</f>
        <v>4913.5483870967746</v>
      </c>
      <c r="E173" s="59"/>
      <c r="F173" s="59">
        <f>81455/31</f>
        <v>2627.5806451612902</v>
      </c>
      <c r="G173" s="59">
        <f>315600/31</f>
        <v>10180.645161290322</v>
      </c>
      <c r="H173" s="59">
        <f>8053.135/31</f>
        <v>259.77854838709681</v>
      </c>
      <c r="I173" s="59">
        <f>400880.4344/31</f>
        <v>12931.626916129033</v>
      </c>
      <c r="J173" s="59">
        <f>5083747.1181/31</f>
        <v>163991.84251935483</v>
      </c>
      <c r="K173" s="59"/>
      <c r="L173" s="59"/>
      <c r="M173" s="59">
        <f>1035592/31</f>
        <v>33406.193548387098</v>
      </c>
      <c r="N173" s="65">
        <f t="shared" si="1"/>
        <v>228311.21572580643</v>
      </c>
      <c r="O173" s="51">
        <v>327747.97029999999</v>
      </c>
    </row>
    <row r="174" spans="2:15" x14ac:dyDescent="0.2">
      <c r="B174" s="64">
        <v>2008.16666100001</v>
      </c>
      <c r="C174" s="47">
        <v>39479</v>
      </c>
      <c r="D174" s="59">
        <f>133366/29</f>
        <v>4598.8275862068967</v>
      </c>
      <c r="E174" s="59"/>
      <c r="F174" s="59">
        <f>42077/29</f>
        <v>1450.9310344827586</v>
      </c>
      <c r="G174" s="59">
        <f>250311/29</f>
        <v>8631.4137931034475</v>
      </c>
      <c r="H174" s="59">
        <f>6939.5863/29</f>
        <v>239.29607931034482</v>
      </c>
      <c r="I174" s="59">
        <f>326409.3471/29</f>
        <v>11255.494727586207</v>
      </c>
      <c r="J174" s="59">
        <f>6168278.0859/29</f>
        <v>212699.24434137932</v>
      </c>
      <c r="K174" s="59"/>
      <c r="L174" s="59"/>
      <c r="M174" s="59">
        <f>922822/29</f>
        <v>31821.448275862069</v>
      </c>
      <c r="N174" s="65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64">
        <v>2008.24999430001</v>
      </c>
      <c r="C175" s="47">
        <v>39508</v>
      </c>
      <c r="D175" s="59">
        <f>156177/31</f>
        <v>5037.9677419354839</v>
      </c>
      <c r="E175" s="59"/>
      <c r="F175" s="59">
        <f>48684/31</f>
        <v>1570.4516129032259</v>
      </c>
      <c r="G175" s="59">
        <f>278121/31</f>
        <v>8971.645161290322</v>
      </c>
      <c r="H175" s="59">
        <f>6667.1647/31</f>
        <v>215.06982903225807</v>
      </c>
      <c r="I175" s="59">
        <f>348315.9516/31</f>
        <v>11235.998438709676</v>
      </c>
      <c r="J175" s="59">
        <f>7080688.2661/31</f>
        <v>228409.29890645162</v>
      </c>
      <c r="K175" s="59"/>
      <c r="L175" s="59"/>
      <c r="M175" s="59">
        <f>933034/31</f>
        <v>30097.870967741936</v>
      </c>
      <c r="N175" s="51">
        <f t="shared" si="1"/>
        <v>285538.30265806452</v>
      </c>
      <c r="O175" s="7">
        <f t="shared" si="3"/>
        <v>327747.97029999999</v>
      </c>
    </row>
    <row r="176" spans="2:15" x14ac:dyDescent="0.2">
      <c r="B176" s="64">
        <v>2008.3333276000101</v>
      </c>
      <c r="C176" s="47">
        <v>39539</v>
      </c>
      <c r="D176" s="59">
        <f>112293/30</f>
        <v>3743.1</v>
      </c>
      <c r="E176"/>
      <c r="F176" s="59">
        <f>48022/30</f>
        <v>1600.7333333333333</v>
      </c>
      <c r="G176" s="59">
        <f>250291/30</f>
        <v>8343.0333333333328</v>
      </c>
      <c r="H176" s="59">
        <f>17083.2557/30</f>
        <v>569.44185666666669</v>
      </c>
      <c r="I176" s="59">
        <f>323074.9091/30</f>
        <v>10769.163636666666</v>
      </c>
      <c r="J176" s="51">
        <f>6552336.3253/30</f>
        <v>218411.21084333333</v>
      </c>
      <c r="K176" s="51"/>
      <c r="L176" s="51"/>
      <c r="M176" s="59">
        <f>1080999/30</f>
        <v>36033.300000000003</v>
      </c>
      <c r="N176" s="51">
        <f t="shared" si="1"/>
        <v>279469.98300333333</v>
      </c>
      <c r="O176" s="7">
        <f t="shared" si="3"/>
        <v>327747.97029999999</v>
      </c>
    </row>
    <row r="177" spans="2:32" x14ac:dyDescent="0.2">
      <c r="B177" s="64">
        <v>2008.4166609000099</v>
      </c>
      <c r="C177" s="47">
        <v>39569</v>
      </c>
      <c r="D177" s="59">
        <f>153597/31</f>
        <v>4954.7419354838712</v>
      </c>
      <c r="E177"/>
      <c r="F177" s="59">
        <f>56272/31</f>
        <v>1815.2258064516129</v>
      </c>
      <c r="G177" s="59">
        <f>369824/31</f>
        <v>11929.806451612903</v>
      </c>
      <c r="H177" s="59">
        <f>22280.5572/31</f>
        <v>718.72765161290317</v>
      </c>
      <c r="I177" s="59">
        <f>484288.3221/31</f>
        <v>15622.203938709677</v>
      </c>
      <c r="J177" s="51">
        <f>7966031.3423/31</f>
        <v>256968.75297741935</v>
      </c>
      <c r="K177" s="51"/>
      <c r="L177" s="51"/>
      <c r="M177" s="59">
        <f>1451772/31</f>
        <v>46831.354838709674</v>
      </c>
      <c r="N177" s="51">
        <f t="shared" si="1"/>
        <v>338840.81359999999</v>
      </c>
      <c r="O177" s="7">
        <f t="shared" si="3"/>
        <v>327747.97029999999</v>
      </c>
    </row>
    <row r="178" spans="2:32" x14ac:dyDescent="0.2">
      <c r="B178" s="64">
        <v>2008.49999420001</v>
      </c>
      <c r="C178" s="47">
        <v>39600</v>
      </c>
      <c r="D178" s="59">
        <f>144084/30</f>
        <v>4802.8</v>
      </c>
      <c r="E178"/>
      <c r="F178" s="59">
        <f>73611/30</f>
        <v>2453.6999999999998</v>
      </c>
      <c r="G178" s="59">
        <f>355001/30</f>
        <v>11833.366666666667</v>
      </c>
      <c r="H178" s="59">
        <f>136817.603/30</f>
        <v>4560.5867666666663</v>
      </c>
      <c r="I178" s="59">
        <f>489718.1426/30</f>
        <v>16323.938086666667</v>
      </c>
      <c r="J178" s="59">
        <f>8504578/30</f>
        <v>283485.93333333335</v>
      </c>
      <c r="K178" s="59"/>
      <c r="L178" s="59"/>
      <c r="M178" s="59">
        <f>1370158/30</f>
        <v>45671.933333333334</v>
      </c>
      <c r="N178" s="51">
        <f t="shared" si="1"/>
        <v>369132.2581866667</v>
      </c>
      <c r="O178" s="7">
        <f t="shared" si="3"/>
        <v>327747.97029999999</v>
      </c>
    </row>
    <row r="179" spans="2:32" x14ac:dyDescent="0.2">
      <c r="B179" s="64">
        <v>2008.58332750001</v>
      </c>
      <c r="C179" s="47">
        <v>39630</v>
      </c>
      <c r="D179" s="59">
        <f>155423/31</f>
        <v>5013.6451612903229</v>
      </c>
      <c r="E179"/>
      <c r="F179" s="59">
        <f>81673/31</f>
        <v>2634.6129032258063</v>
      </c>
      <c r="G179" s="59">
        <f>403968/31</f>
        <v>13031.225806451614</v>
      </c>
      <c r="H179" s="59">
        <f>14790.2777/31</f>
        <v>477.10573225806451</v>
      </c>
      <c r="I179" s="59">
        <f>511811/31</f>
        <v>16510.032258064515</v>
      </c>
      <c r="J179" s="59">
        <f>8900134.306/31</f>
        <v>287101.10664516129</v>
      </c>
      <c r="K179" s="59"/>
      <c r="L179" s="59"/>
      <c r="M179" s="59">
        <f>1475035/31</f>
        <v>47581.774193548386</v>
      </c>
      <c r="N179" s="51">
        <f t="shared" si="1"/>
        <v>372349.50269999995</v>
      </c>
      <c r="O179" s="7">
        <f t="shared" si="3"/>
        <v>327747.97029999999</v>
      </c>
    </row>
    <row r="180" spans="2:32" x14ac:dyDescent="0.2">
      <c r="B180" s="64">
        <v>2008.66666080001</v>
      </c>
      <c r="C180" s="47">
        <v>39661</v>
      </c>
      <c r="D180" s="59">
        <f>153206/31</f>
        <v>4942.1290322580644</v>
      </c>
      <c r="E180" s="59"/>
      <c r="F180" s="59">
        <f>78405/31</f>
        <v>2529.1935483870966</v>
      </c>
      <c r="G180" s="59">
        <f>407717/31</f>
        <v>13152.161290322581</v>
      </c>
      <c r="H180" s="59">
        <f>13150.2259/31</f>
        <v>424.20083548387095</v>
      </c>
      <c r="I180" s="59">
        <f>517801.3745/31</f>
        <v>16703.270145161288</v>
      </c>
      <c r="J180" s="59">
        <f>8814468.7275/31</f>
        <v>284337.70088709675</v>
      </c>
      <c r="K180" s="59"/>
      <c r="L180" s="59"/>
      <c r="M180" s="59">
        <f>1470690/31</f>
        <v>47441.612903225803</v>
      </c>
      <c r="N180" s="51">
        <f t="shared" si="1"/>
        <v>369530.26864193549</v>
      </c>
      <c r="O180" s="7">
        <f t="shared" si="3"/>
        <v>327747.97029999999</v>
      </c>
      <c r="P180" s="59"/>
      <c r="Q180" s="59"/>
    </row>
    <row r="181" spans="2:32" x14ac:dyDescent="0.2">
      <c r="B181" s="64">
        <v>2008.7499941000101</v>
      </c>
      <c r="C181" s="47">
        <v>39692</v>
      </c>
      <c r="D181" s="59">
        <f>147784/30</f>
        <v>4926.1333333333332</v>
      </c>
      <c r="E181" s="59"/>
      <c r="F181" s="59">
        <f>71956/30</f>
        <v>2398.5333333333333</v>
      </c>
      <c r="G181" s="59">
        <f>413614/30</f>
        <v>13787.133333333333</v>
      </c>
      <c r="H181" s="59">
        <f>7963.2252/30</f>
        <v>265.44083999999998</v>
      </c>
      <c r="I181" s="59">
        <f>583693.0914/30</f>
        <v>19456.436380000003</v>
      </c>
      <c r="J181" s="59">
        <f>8612759.2842/30</f>
        <v>287091.97613999998</v>
      </c>
      <c r="K181" s="59"/>
      <c r="L181" s="59"/>
      <c r="M181" s="59">
        <f>1363138/30</f>
        <v>45437.933333333334</v>
      </c>
      <c r="N181" s="51">
        <f t="shared" si="1"/>
        <v>373363.58669333335</v>
      </c>
      <c r="O181" s="7">
        <f t="shared" si="3"/>
        <v>327747.97029999999</v>
      </c>
      <c r="P181" s="59"/>
      <c r="Q181" s="59"/>
    </row>
    <row r="182" spans="2:32" x14ac:dyDescent="0.2">
      <c r="B182" s="64">
        <v>2008.8333274000099</v>
      </c>
      <c r="C182" s="47">
        <v>39722</v>
      </c>
      <c r="D182" s="51">
        <f>139858/31</f>
        <v>4511.5483870967746</v>
      </c>
      <c r="E182" s="51"/>
      <c r="F182" s="51">
        <f>40756/31</f>
        <v>1314.7096774193549</v>
      </c>
      <c r="G182" s="51">
        <f>358473/31</f>
        <v>11563.645161290322</v>
      </c>
      <c r="H182" s="51">
        <f>8668.5911/31</f>
        <v>279.63197096774195</v>
      </c>
      <c r="I182" s="51">
        <f>421555.8481/31</f>
        <v>13598.57574516129</v>
      </c>
      <c r="J182" s="51">
        <f>8671253.2711/31</f>
        <v>279717.84745483869</v>
      </c>
      <c r="K182" s="51"/>
      <c r="L182" s="51"/>
      <c r="M182" s="51">
        <f>1325263/31</f>
        <v>42750.419354838712</v>
      </c>
      <c r="N182" s="51">
        <f t="shared" si="1"/>
        <v>353736.37775161292</v>
      </c>
      <c r="O182" s="7">
        <f t="shared" si="3"/>
        <v>327747.97029999999</v>
      </c>
      <c r="P182" s="59"/>
      <c r="Q182" s="59"/>
    </row>
    <row r="183" spans="2:32" x14ac:dyDescent="0.2">
      <c r="B183" s="64">
        <v>2008.91666070001</v>
      </c>
      <c r="C183" s="47">
        <v>39753</v>
      </c>
      <c r="D183" s="51">
        <f>151084/30</f>
        <v>5036.1333333333332</v>
      </c>
      <c r="E183" s="51"/>
      <c r="F183" s="51">
        <f>53714/30</f>
        <v>1790.4666666666667</v>
      </c>
      <c r="G183" s="51">
        <f>316071/30</f>
        <v>10535.7</v>
      </c>
      <c r="H183" s="51">
        <f>56008/30</f>
        <v>1866.9333333333334</v>
      </c>
      <c r="I183" s="51">
        <f>368141/30</f>
        <v>12271.366666666667</v>
      </c>
      <c r="J183" s="51">
        <f>8373850.5714/30</f>
        <v>279128.35238</v>
      </c>
      <c r="K183" s="51"/>
      <c r="L183" s="51"/>
      <c r="M183" s="51">
        <f>1284427/30</f>
        <v>42814.23333333333</v>
      </c>
      <c r="N183" s="51">
        <f t="shared" si="1"/>
        <v>353443.18571333337</v>
      </c>
      <c r="O183" s="7">
        <f t="shared" si="3"/>
        <v>327747.97029999999</v>
      </c>
      <c r="P183" s="59"/>
      <c r="Q183" s="59"/>
    </row>
    <row r="184" spans="2:32" x14ac:dyDescent="0.2">
      <c r="B184" s="64">
        <v>2008.99999400001</v>
      </c>
      <c r="C184" s="47">
        <v>39783</v>
      </c>
      <c r="D184" s="51">
        <f>151465/31</f>
        <v>4885.9677419354839</v>
      </c>
      <c r="E184" s="51"/>
      <c r="F184" s="51">
        <f>43170/31</f>
        <v>1392.5806451612902</v>
      </c>
      <c r="G184" s="51">
        <f>263982/31</f>
        <v>8515.5483870967746</v>
      </c>
      <c r="H184" s="51">
        <f>48002.8333/31</f>
        <v>1548.478493548387</v>
      </c>
      <c r="I184" s="51">
        <f>383752/31</f>
        <v>12379.096774193549</v>
      </c>
      <c r="J184" s="51">
        <f>8362166.5038/31</f>
        <v>269747.30657419353</v>
      </c>
      <c r="K184" s="51"/>
      <c r="L184" s="51"/>
      <c r="M184" s="51">
        <f>1193244/31</f>
        <v>38491.741935483871</v>
      </c>
      <c r="N184" s="51">
        <f t="shared" si="1"/>
        <v>336960.7205516129</v>
      </c>
      <c r="O184" s="7">
        <f t="shared" si="3"/>
        <v>327747.97029999999</v>
      </c>
      <c r="P184" s="59"/>
      <c r="Q184" s="59"/>
    </row>
    <row r="185" spans="2:32" x14ac:dyDescent="0.2">
      <c r="B185" s="64">
        <v>2009.0833273000101</v>
      </c>
      <c r="C185" s="47">
        <v>39814</v>
      </c>
      <c r="D185" s="51">
        <f>150495/31</f>
        <v>4854.677419354839</v>
      </c>
      <c r="E185" s="45"/>
      <c r="F185" s="51">
        <f>19313/31</f>
        <v>623</v>
      </c>
      <c r="G185" s="51">
        <f>234060/31</f>
        <v>7550.322580645161</v>
      </c>
      <c r="H185" s="51">
        <f>22113.1837/31</f>
        <v>713.32850645161295</v>
      </c>
      <c r="I185" s="51">
        <f>230309/31</f>
        <v>7429.322580645161</v>
      </c>
      <c r="J185" s="51">
        <f>7578705.4705/31</f>
        <v>244474.37001612902</v>
      </c>
      <c r="K185" s="51"/>
      <c r="L185" s="51"/>
      <c r="M185" s="51">
        <f>979463/31</f>
        <v>31595.580645161292</v>
      </c>
      <c r="N185" s="51">
        <f t="shared" si="1"/>
        <v>297240.60174838704</v>
      </c>
      <c r="O185" s="51">
        <v>336112.25160000002</v>
      </c>
      <c r="P185" s="45"/>
      <c r="Q185" s="45"/>
      <c r="R185" s="45"/>
      <c r="S185" s="45"/>
      <c r="T185" s="45"/>
      <c r="U185" s="45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2:32" x14ac:dyDescent="0.2">
      <c r="B186" s="64">
        <v>2009.1666606000099</v>
      </c>
      <c r="C186" s="47">
        <v>39845</v>
      </c>
      <c r="D186" s="51">
        <f>125942/28</f>
        <v>4497.9285714285716</v>
      </c>
      <c r="E186" s="45"/>
      <c r="F186" s="51">
        <v>0</v>
      </c>
      <c r="G186" s="51">
        <f>203882/28</f>
        <v>7281.5</v>
      </c>
      <c r="H186" s="51">
        <f>18614.6998/28</f>
        <v>664.81070714285704</v>
      </c>
      <c r="I186" s="51">
        <f>154326/28</f>
        <v>5511.6428571428569</v>
      </c>
      <c r="J186" s="51">
        <f>6395417.1867/28</f>
        <v>228407.75666785715</v>
      </c>
      <c r="K186" s="51"/>
      <c r="L186" s="51"/>
      <c r="M186" s="51">
        <f>914673/28</f>
        <v>32666.892857142859</v>
      </c>
      <c r="N186" s="51">
        <f t="shared" si="1"/>
        <v>279030.5316607143</v>
      </c>
      <c r="O186" s="51">
        <f t="shared" ref="O186:O196" si="4">+O185</f>
        <v>336112.25160000002</v>
      </c>
      <c r="P186" s="45"/>
      <c r="Q186" s="45"/>
      <c r="R186" s="45"/>
      <c r="S186" s="45"/>
      <c r="T186" s="45"/>
      <c r="U186" s="45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2:32" x14ac:dyDescent="0.2">
      <c r="B187" s="64">
        <v>2009.2499939000099</v>
      </c>
      <c r="C187" s="47">
        <v>39873</v>
      </c>
      <c r="D187" s="51">
        <f>137611/31</f>
        <v>4439.0645161290322</v>
      </c>
      <c r="E187" s="45"/>
      <c r="F187" s="51">
        <v>0</v>
      </c>
      <c r="G187" s="51">
        <f>227891/31</f>
        <v>7351.322580645161</v>
      </c>
      <c r="H187" s="51">
        <f>13174.2138/31</f>
        <v>424.97463870967738</v>
      </c>
      <c r="I187" s="51">
        <f>159565/31</f>
        <v>5147.2580645161288</v>
      </c>
      <c r="J187" s="51">
        <f>8130969.5424/31</f>
        <v>262289.34007741936</v>
      </c>
      <c r="K187" s="51"/>
      <c r="L187" s="51"/>
      <c r="M187" s="67">
        <f>895254/31</f>
        <v>28879.16129032258</v>
      </c>
      <c r="N187" s="51">
        <f t="shared" si="1"/>
        <v>308531.12116774195</v>
      </c>
      <c r="O187" s="51">
        <f t="shared" si="4"/>
        <v>336112.25160000002</v>
      </c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2:32" x14ac:dyDescent="0.2">
      <c r="B188" s="64">
        <v>2009.33332720001</v>
      </c>
      <c r="C188" s="47">
        <v>39904</v>
      </c>
      <c r="D188" s="51">
        <f>143312/30</f>
        <v>4777.0666666666666</v>
      </c>
      <c r="E188" s="67"/>
      <c r="F188" s="67">
        <f>24233/30</f>
        <v>807.76666666666665</v>
      </c>
      <c r="G188" s="67">
        <f>231078/30</f>
        <v>7702.6</v>
      </c>
      <c r="H188" s="67">
        <v>446.93333333333334</v>
      </c>
      <c r="I188" s="67">
        <f>253710/30</f>
        <v>8457</v>
      </c>
      <c r="J188" s="67">
        <f>7343526.2231/30</f>
        <v>244784.20743666668</v>
      </c>
      <c r="K188" s="67"/>
      <c r="L188" s="67"/>
      <c r="M188" s="67">
        <f>660357/30</f>
        <v>22011.9</v>
      </c>
      <c r="N188" s="51">
        <f t="shared" si="1"/>
        <v>288987.47410333337</v>
      </c>
      <c r="O188" s="51">
        <f t="shared" si="4"/>
        <v>336112.25160000002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2:32" x14ac:dyDescent="0.2">
      <c r="B189" s="64">
        <v>2009.41666050001</v>
      </c>
      <c r="C189" s="47">
        <v>39934</v>
      </c>
      <c r="D189" s="51">
        <f>147173/31</f>
        <v>4747.5161290322585</v>
      </c>
      <c r="E189" s="67"/>
      <c r="F189" s="67">
        <f>41142/31</f>
        <v>1327.1612903225807</v>
      </c>
      <c r="G189" s="67">
        <f>262011/31</f>
        <v>8451.967741935483</v>
      </c>
      <c r="H189" s="67">
        <f>51686.1872/31</f>
        <v>1667.2963612903227</v>
      </c>
      <c r="I189" s="67">
        <f>280630/31</f>
        <v>9052.5806451612898</v>
      </c>
      <c r="J189" s="67">
        <f>8419732/31</f>
        <v>271604.25806451612</v>
      </c>
      <c r="K189" s="67"/>
      <c r="L189" s="67"/>
      <c r="M189" s="67">
        <f>969374/31</f>
        <v>31270.129032258064</v>
      </c>
      <c r="N189" s="51">
        <f t="shared" si="1"/>
        <v>328120.90926451609</v>
      </c>
      <c r="O189" s="51">
        <f t="shared" si="4"/>
        <v>336112.25160000002</v>
      </c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2:32" x14ac:dyDescent="0.2">
      <c r="B190" s="64">
        <v>2009.4999938000101</v>
      </c>
      <c r="C190" s="47">
        <v>39965</v>
      </c>
      <c r="D190" s="51">
        <f>145597/30</f>
        <v>4853.2333333333336</v>
      </c>
      <c r="E190" s="67"/>
      <c r="F190" s="67">
        <f>12606/30</f>
        <v>420.2</v>
      </c>
      <c r="G190" s="67">
        <f>370670/30</f>
        <v>12355.666666666666</v>
      </c>
      <c r="H190" s="67">
        <f>35720/30</f>
        <v>1190.6666666666667</v>
      </c>
      <c r="I190" s="67">
        <f>367971/30</f>
        <v>12265.7</v>
      </c>
      <c r="J190" s="67">
        <f>8630556.7768/30</f>
        <v>287685.22589333332</v>
      </c>
      <c r="K190" s="67"/>
      <c r="L190" s="67"/>
      <c r="M190" s="67">
        <f>1306909/30</f>
        <v>43563.633333333331</v>
      </c>
      <c r="N190" s="51">
        <f t="shared" si="1"/>
        <v>362334.3258933333</v>
      </c>
      <c r="O190" s="51">
        <f t="shared" si="4"/>
        <v>336112.25160000002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2:32" x14ac:dyDescent="0.2">
      <c r="B191" s="64">
        <v>2009.5833271000099</v>
      </c>
      <c r="C191" s="47">
        <v>39995</v>
      </c>
      <c r="D191" s="51">
        <f>154577/31</f>
        <v>4986.3548387096771</v>
      </c>
      <c r="E191" s="45"/>
      <c r="F191" s="51">
        <f>41797/31</f>
        <v>1348.2903225806451</v>
      </c>
      <c r="G191" s="67">
        <f>367886/31</f>
        <v>11867.290322580646</v>
      </c>
      <c r="H191" s="67">
        <f>23584.8774/31</f>
        <v>760.80249677419363</v>
      </c>
      <c r="I191" s="67">
        <f>427042/31</f>
        <v>13775.548387096775</v>
      </c>
      <c r="J191" s="67">
        <f>9015157.4144/31</f>
        <v>290811.52949677419</v>
      </c>
      <c r="K191" s="67"/>
      <c r="L191" s="67"/>
      <c r="M191" s="67">
        <f>1354188/31</f>
        <v>43683.483870967742</v>
      </c>
      <c r="N191" s="51">
        <f t="shared" si="1"/>
        <v>367233.29973548389</v>
      </c>
      <c r="O191" s="51">
        <f t="shared" si="4"/>
        <v>336112.25160000002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2:32" x14ac:dyDescent="0.2">
      <c r="B192" s="64">
        <v>2009.66666040001</v>
      </c>
      <c r="C192" s="47">
        <v>40026</v>
      </c>
      <c r="D192" s="69">
        <f>147202/31</f>
        <v>4748.4516129032254</v>
      </c>
      <c r="E192" s="69"/>
      <c r="F192" s="69">
        <f>72289/31</f>
        <v>2331.9032258064517</v>
      </c>
      <c r="G192" s="70">
        <f>390376/31</f>
        <v>12592.774193548386</v>
      </c>
      <c r="H192" s="70">
        <f>7094.2524/31</f>
        <v>228.84685161290324</v>
      </c>
      <c r="I192" s="70">
        <f>528004/31</f>
        <v>17032.387096774193</v>
      </c>
      <c r="J192" s="70">
        <f>9089009.4287/31</f>
        <v>293193.8525387097</v>
      </c>
      <c r="K192" s="70"/>
      <c r="L192" s="70"/>
      <c r="M192" s="70">
        <f>1440871/31</f>
        <v>46479.709677419356</v>
      </c>
      <c r="N192" s="69">
        <f t="shared" ref="N192:N223" si="5">SUM(D192:M192)</f>
        <v>376607.92519677419</v>
      </c>
      <c r="O192" s="69">
        <f t="shared" si="4"/>
        <v>336112.25160000002</v>
      </c>
    </row>
    <row r="193" spans="2:18" x14ac:dyDescent="0.2">
      <c r="B193" s="64">
        <v>2009.74999370001</v>
      </c>
      <c r="C193" s="47">
        <v>40057</v>
      </c>
      <c r="D193" s="71">
        <f>133673/30</f>
        <v>4455.7666666666664</v>
      </c>
      <c r="E193" s="71"/>
      <c r="F193" s="71">
        <f>58000/30</f>
        <v>1933.3333333333333</v>
      </c>
      <c r="G193" s="70">
        <f>375562/30</f>
        <v>12518.733333333334</v>
      </c>
      <c r="H193" s="71">
        <f>6975.2921/30</f>
        <v>232.50973666666667</v>
      </c>
      <c r="I193" s="70">
        <f>480359/30</f>
        <v>16011.966666666667</v>
      </c>
      <c r="J193" s="71">
        <f>8827708.9608/30</f>
        <v>294256.96535999997</v>
      </c>
      <c r="K193" s="71"/>
      <c r="L193" s="71"/>
      <c r="M193" s="71">
        <f>1391643/30</f>
        <v>46388.1</v>
      </c>
      <c r="N193" s="71">
        <f t="shared" si="5"/>
        <v>375797.37509666663</v>
      </c>
      <c r="O193" s="69">
        <f t="shared" si="4"/>
        <v>336112.25160000002</v>
      </c>
    </row>
    <row r="194" spans="2:18" x14ac:dyDescent="0.2">
      <c r="B194" s="64">
        <v>2009.8333270000101</v>
      </c>
      <c r="C194" s="47">
        <v>40087</v>
      </c>
      <c r="D194" s="70">
        <f>139424/31</f>
        <v>4497.5483870967746</v>
      </c>
      <c r="E194" s="70"/>
      <c r="F194" s="70">
        <f>48467/31</f>
        <v>1563.4516129032259</v>
      </c>
      <c r="G194" s="70">
        <f>392819/31</f>
        <v>12671.58064516129</v>
      </c>
      <c r="H194" s="70">
        <f>2579.8452/31</f>
        <v>83.22081290322582</v>
      </c>
      <c r="I194" s="70">
        <f>419445/31</f>
        <v>13530.483870967742</v>
      </c>
      <c r="J194" s="70">
        <f>8999860.6367/31</f>
        <v>290318.08505483874</v>
      </c>
      <c r="K194" s="70"/>
      <c r="L194" s="70"/>
      <c r="M194" s="70">
        <f>1334470/31</f>
        <v>43047.419354838712</v>
      </c>
      <c r="N194" s="69">
        <f t="shared" si="5"/>
        <v>365711.78973870975</v>
      </c>
      <c r="O194" s="69">
        <f t="shared" si="4"/>
        <v>336112.25160000002</v>
      </c>
    </row>
    <row r="195" spans="2:18" x14ac:dyDescent="0.2">
      <c r="B195" s="64">
        <v>2009.9166603000101</v>
      </c>
      <c r="C195" s="47">
        <v>40118</v>
      </c>
      <c r="D195" s="70">
        <f>139906/30</f>
        <v>4663.5333333333338</v>
      </c>
      <c r="E195" s="70"/>
      <c r="F195" s="70">
        <f>69366/30</f>
        <v>2312.1999999999998</v>
      </c>
      <c r="G195" s="70">
        <f>424815/30</f>
        <v>14160.5</v>
      </c>
      <c r="H195" s="70">
        <f>6215.4477/30</f>
        <v>207.18159</v>
      </c>
      <c r="I195" s="70">
        <f>408519/30</f>
        <v>13617.3</v>
      </c>
      <c r="J195" s="70">
        <f>8676765.9375/30</f>
        <v>289225.53125</v>
      </c>
      <c r="K195" s="70"/>
      <c r="L195" s="70"/>
      <c r="M195" s="70">
        <f>807247/30</f>
        <v>26908.233333333334</v>
      </c>
      <c r="N195" s="69">
        <f t="shared" si="5"/>
        <v>351094.47950666666</v>
      </c>
      <c r="O195" s="69">
        <f t="shared" si="4"/>
        <v>336112.25160000002</v>
      </c>
    </row>
    <row r="196" spans="2:18" x14ac:dyDescent="0.2">
      <c r="B196" s="64">
        <v>2009.9999936000099</v>
      </c>
      <c r="C196" s="47">
        <v>40148</v>
      </c>
      <c r="D196" s="70">
        <f>144350/31</f>
        <v>4656.4516129032254</v>
      </c>
      <c r="E196" s="68"/>
      <c r="F196" s="68">
        <f>70690/31</f>
        <v>2280.3225806451615</v>
      </c>
      <c r="G196" s="68">
        <f>404738/31</f>
        <v>13056.064516129032</v>
      </c>
      <c r="H196" s="68">
        <f>4788.0798/31</f>
        <v>154.45418709677421</v>
      </c>
      <c r="I196" s="68">
        <f>305286/31</f>
        <v>9847.9354838709678</v>
      </c>
      <c r="J196" s="68">
        <f>8615537/31</f>
        <v>277920.54838709679</v>
      </c>
      <c r="K196" s="68"/>
      <c r="L196" s="68"/>
      <c r="M196" s="68">
        <f>629501/31</f>
        <v>20306.483870967742</v>
      </c>
      <c r="N196" s="69">
        <f t="shared" si="5"/>
        <v>328222.2606387097</v>
      </c>
      <c r="O196" s="69">
        <f t="shared" si="4"/>
        <v>336112.25160000002</v>
      </c>
    </row>
    <row r="197" spans="2:18" x14ac:dyDescent="0.2">
      <c r="B197" s="64">
        <v>2010.08332690001</v>
      </c>
      <c r="C197" s="47">
        <v>40179</v>
      </c>
      <c r="D197" s="70">
        <f>145086/31</f>
        <v>4680.1935483870966</v>
      </c>
      <c r="E197" s="68"/>
      <c r="F197" s="68">
        <f>73821/31</f>
        <v>2381.3225806451615</v>
      </c>
      <c r="G197" s="68">
        <f>401512/31</f>
        <v>12952</v>
      </c>
      <c r="H197" s="68">
        <f>9810.6832/31</f>
        <v>316.47365161290321</v>
      </c>
      <c r="I197" s="68">
        <f>356420/31</f>
        <v>11497.41935483871</v>
      </c>
      <c r="J197" s="68">
        <f>9165612.5048/31</f>
        <v>295664.91950967739</v>
      </c>
      <c r="K197" s="68">
        <f>3566.824/31</f>
        <v>115.05883870967742</v>
      </c>
      <c r="L197" s="68"/>
      <c r="M197" s="68">
        <f>961628/31</f>
        <v>31020.258064516129</v>
      </c>
      <c r="N197" s="69">
        <f t="shared" si="5"/>
        <v>358627.64554838702</v>
      </c>
      <c r="O197" s="69">
        <v>700299</v>
      </c>
      <c r="Q197" s="82"/>
      <c r="R197" s="82"/>
    </row>
    <row r="198" spans="2:18" x14ac:dyDescent="0.2">
      <c r="B198" s="64">
        <v>2010.16666020001</v>
      </c>
      <c r="C198" s="47">
        <v>40210</v>
      </c>
      <c r="D198" s="74">
        <f>128226/28</f>
        <v>4579.5</v>
      </c>
      <c r="E198" s="76"/>
      <c r="F198" s="75">
        <f>69163/28</f>
        <v>2470.1071428571427</v>
      </c>
      <c r="G198" s="76">
        <f>333254/28</f>
        <v>11901.928571428571</v>
      </c>
      <c r="H198" s="76">
        <v>338.78571428571428</v>
      </c>
      <c r="I198" s="76">
        <f>260081/28</f>
        <v>9288.6071428571431</v>
      </c>
      <c r="J198" s="68">
        <f>8895701.395/28</f>
        <v>317703.62124999997</v>
      </c>
      <c r="K198" s="68">
        <f>181908.6734/28</f>
        <v>6496.7383357142853</v>
      </c>
      <c r="L198" s="68"/>
      <c r="M198" s="72">
        <f>828672/28</f>
        <v>29595.428571428572</v>
      </c>
      <c r="N198" s="69">
        <f t="shared" si="5"/>
        <v>382374.71672857139</v>
      </c>
      <c r="O198" s="19">
        <f>+O197</f>
        <v>700299</v>
      </c>
      <c r="Q198" s="82"/>
      <c r="R198" s="82"/>
    </row>
    <row r="199" spans="2:18" x14ac:dyDescent="0.2">
      <c r="B199" s="64">
        <v>2010.2499935000101</v>
      </c>
      <c r="C199" s="47">
        <v>40238</v>
      </c>
      <c r="D199" s="74">
        <f>97204/31</f>
        <v>3135.6129032258063</v>
      </c>
      <c r="E199" s="76"/>
      <c r="F199" s="74">
        <f>33583/31</f>
        <v>1083.3225806451612</v>
      </c>
      <c r="G199" s="76">
        <f>363191/31</f>
        <v>11715.838709677419</v>
      </c>
      <c r="H199" s="76">
        <v>386.22580645161293</v>
      </c>
      <c r="I199" s="76">
        <f>322893/31</f>
        <v>10415.903225806451</v>
      </c>
      <c r="J199" s="68">
        <f>9564549.2486/31</f>
        <v>308533.84672903229</v>
      </c>
      <c r="K199" s="68">
        <f>547248.2622/31</f>
        <v>17653.169748387096</v>
      </c>
      <c r="L199" s="68"/>
      <c r="M199" s="72">
        <f>908193/31</f>
        <v>29296.548387096773</v>
      </c>
      <c r="N199" s="69">
        <f t="shared" si="5"/>
        <v>382220.46809032263</v>
      </c>
      <c r="O199" s="19">
        <f>+O198</f>
        <v>700299</v>
      </c>
      <c r="Q199" s="82"/>
      <c r="R199" s="82"/>
    </row>
    <row r="200" spans="2:18" x14ac:dyDescent="0.2">
      <c r="B200" s="64">
        <v>2010.3333268000099</v>
      </c>
      <c r="C200" s="47">
        <v>40269</v>
      </c>
      <c r="D200" s="74">
        <f>105888/30</f>
        <v>3529.6</v>
      </c>
      <c r="E200" s="77"/>
      <c r="F200" s="74">
        <f>62380/30</f>
        <v>2079.3333333333335</v>
      </c>
      <c r="G200" s="76">
        <f>378505/30</f>
        <v>12616.833333333334</v>
      </c>
      <c r="H200" s="76">
        <f>8476.0405/30</f>
        <v>282.53468333333331</v>
      </c>
      <c r="I200" s="76">
        <f>276738/30</f>
        <v>9224.6</v>
      </c>
      <c r="J200" s="68">
        <f>9069476.0957/30</f>
        <v>302315.86985666666</v>
      </c>
      <c r="K200" s="68">
        <f>339840.845/30</f>
        <v>11328.028166666665</v>
      </c>
      <c r="L200" s="68"/>
      <c r="M200" s="72">
        <f>505737/30</f>
        <v>16857.900000000001</v>
      </c>
      <c r="N200" s="69">
        <f t="shared" si="5"/>
        <v>358234.69937333337</v>
      </c>
      <c r="O200" s="19">
        <f t="shared" ref="O200:O208" si="6">+O199</f>
        <v>700299</v>
      </c>
      <c r="Q200" s="82"/>
      <c r="R200" s="82"/>
    </row>
    <row r="201" spans="2:18" x14ac:dyDescent="0.2">
      <c r="B201" s="64">
        <v>2010.4166601000099</v>
      </c>
      <c r="C201" s="47">
        <v>40299</v>
      </c>
      <c r="D201" s="75">
        <f>139497/31</f>
        <v>4499.9032258064517</v>
      </c>
      <c r="E201" s="80"/>
      <c r="F201" s="80">
        <f>64807/31</f>
        <v>2090.5483870967741</v>
      </c>
      <c r="G201" s="80">
        <f>286777/31</f>
        <v>9250.8709677419356</v>
      </c>
      <c r="H201" s="80">
        <f>24188.77/31</f>
        <v>780.28290322580642</v>
      </c>
      <c r="I201" s="80">
        <f>239245/31</f>
        <v>7717.5806451612907</v>
      </c>
      <c r="J201" s="68">
        <f>10494675.8816/31</f>
        <v>338537.9316645161</v>
      </c>
      <c r="K201" s="68">
        <f>1554424.2627/31</f>
        <v>50142.718151612906</v>
      </c>
      <c r="L201" s="68"/>
      <c r="M201" s="19">
        <f>780668/31</f>
        <v>25182.83870967742</v>
      </c>
      <c r="N201" s="69">
        <f t="shared" si="5"/>
        <v>438202.67465483869</v>
      </c>
      <c r="O201" s="19">
        <f t="shared" si="6"/>
        <v>700299</v>
      </c>
      <c r="Q201" s="82"/>
      <c r="R201" s="82"/>
    </row>
    <row r="202" spans="2:18" x14ac:dyDescent="0.2">
      <c r="B202" s="64">
        <v>2010.49999340001</v>
      </c>
      <c r="C202" s="47">
        <v>40330</v>
      </c>
      <c r="D202" s="78">
        <f>144250/30</f>
        <v>4808.333333333333</v>
      </c>
      <c r="E202" s="78"/>
      <c r="F202" s="78">
        <f>67727/30</f>
        <v>2257.5666666666666</v>
      </c>
      <c r="G202" s="78">
        <f>372531/30</f>
        <v>12417.7</v>
      </c>
      <c r="H202" s="78">
        <f>120574/30</f>
        <v>4019.1333333333332</v>
      </c>
      <c r="I202" s="78">
        <f>305366/30</f>
        <v>10178.866666666667</v>
      </c>
      <c r="J202" s="68">
        <f>12618753.6328/30</f>
        <v>420625.12109333335</v>
      </c>
      <c r="K202" s="68">
        <f>6249417.8517/30</f>
        <v>208313.92839000002</v>
      </c>
      <c r="L202" s="68"/>
      <c r="M202" s="79">
        <f>1147691/30</f>
        <v>38256.366666666669</v>
      </c>
      <c r="N202" s="69">
        <f t="shared" si="5"/>
        <v>700877.01615000004</v>
      </c>
      <c r="O202" s="79">
        <f t="shared" si="6"/>
        <v>700299</v>
      </c>
      <c r="P202" s="73"/>
      <c r="Q202" s="82"/>
      <c r="R202" s="82"/>
    </row>
    <row r="203" spans="2:18" x14ac:dyDescent="0.2">
      <c r="B203" s="64">
        <v>2010.58332670001</v>
      </c>
      <c r="C203" s="47">
        <v>40360</v>
      </c>
      <c r="D203" s="78">
        <f>141533/31</f>
        <v>4565.5806451612907</v>
      </c>
      <c r="E203" s="78">
        <f>1001.3992/31</f>
        <v>32.303199999999997</v>
      </c>
      <c r="F203" s="78">
        <f>71096/31</f>
        <v>2293.4193548387098</v>
      </c>
      <c r="G203" s="78">
        <f>411208/31</f>
        <v>13264.774193548386</v>
      </c>
      <c r="H203" s="78">
        <f>4260.3397/31</f>
        <v>137.43031290322583</v>
      </c>
      <c r="I203" s="78">
        <f>355501/31</f>
        <v>11467.774193548386</v>
      </c>
      <c r="J203" s="68">
        <f>12607947.7186/31</f>
        <v>406707.99092258065</v>
      </c>
      <c r="K203" s="68">
        <f>10146498.8271/31</f>
        <v>327306.41377741931</v>
      </c>
      <c r="L203" s="68"/>
      <c r="M203" s="79">
        <f>936879/31</f>
        <v>30221.903225806451</v>
      </c>
      <c r="N203" s="69">
        <f t="shared" si="5"/>
        <v>795997.58982580632</v>
      </c>
      <c r="O203" s="79">
        <f t="shared" si="6"/>
        <v>700299</v>
      </c>
      <c r="P203" s="73"/>
      <c r="Q203" s="82"/>
      <c r="R203" s="82"/>
    </row>
    <row r="204" spans="2:18" x14ac:dyDescent="0.2">
      <c r="B204" s="64">
        <v>2010.6666600000101</v>
      </c>
      <c r="C204" s="47">
        <v>40391</v>
      </c>
      <c r="D204" s="79">
        <f>148652/31</f>
        <v>4795.2258064516127</v>
      </c>
      <c r="E204" s="79">
        <f>1198.2896/31</f>
        <v>38.654503225806451</v>
      </c>
      <c r="F204" s="81">
        <f>66891/31</f>
        <v>2157.7741935483873</v>
      </c>
      <c r="G204" s="79">
        <f>398534/31</f>
        <v>12855.935483870968</v>
      </c>
      <c r="H204" s="79">
        <f>3790.4627/31</f>
        <v>122.27299032258064</v>
      </c>
      <c r="I204" s="79">
        <f>371948/31</f>
        <v>11998.322580645161</v>
      </c>
      <c r="J204" s="68">
        <f>12586431.8361/31</f>
        <v>406013.93019677425</v>
      </c>
      <c r="K204" s="68">
        <f>15997893.6812/31</f>
        <v>516061.08649032254</v>
      </c>
      <c r="L204" s="68"/>
      <c r="M204" s="79">
        <f>1160808/31</f>
        <v>37445.419354838712</v>
      </c>
      <c r="N204" s="69">
        <f t="shared" si="5"/>
        <v>991488.62159999995</v>
      </c>
      <c r="O204" s="79">
        <f t="shared" si="6"/>
        <v>700299</v>
      </c>
      <c r="P204" s="73"/>
      <c r="Q204" s="82"/>
      <c r="R204" s="82"/>
    </row>
    <row r="205" spans="2:18" x14ac:dyDescent="0.2">
      <c r="B205" s="64">
        <v>2010.7499933000099</v>
      </c>
      <c r="C205" s="47">
        <v>40422</v>
      </c>
      <c r="D205" s="79">
        <f>150521/30</f>
        <v>5017.3666666666668</v>
      </c>
      <c r="E205" s="79">
        <f>4610/30</f>
        <v>153.66666666666666</v>
      </c>
      <c r="F205" s="79">
        <f>65143/30</f>
        <v>2171.4333333333334</v>
      </c>
      <c r="G205" s="79">
        <f>382713/30</f>
        <v>12757.1</v>
      </c>
      <c r="H205" s="79">
        <f>3721.0806/30</f>
        <v>124.03601999999999</v>
      </c>
      <c r="I205" s="79">
        <f>379742/30</f>
        <v>12658.066666666668</v>
      </c>
      <c r="J205" s="68">
        <f>13500718.0908/30</f>
        <v>450023.93635999999</v>
      </c>
      <c r="K205" s="68">
        <f>11800773.5559/30</f>
        <v>393359.11852999998</v>
      </c>
      <c r="L205" s="68"/>
      <c r="M205" s="79">
        <f>730183/30</f>
        <v>24339.433333333334</v>
      </c>
      <c r="N205" s="69">
        <f t="shared" si="5"/>
        <v>900604.15757666668</v>
      </c>
      <c r="O205" s="79">
        <f t="shared" si="6"/>
        <v>700299</v>
      </c>
      <c r="P205" s="73"/>
      <c r="Q205" s="82"/>
      <c r="R205" s="82"/>
    </row>
    <row r="206" spans="2:18" x14ac:dyDescent="0.2">
      <c r="B206" s="64">
        <v>2010.83332660001</v>
      </c>
      <c r="C206" s="47">
        <v>40452</v>
      </c>
      <c r="D206" s="79">
        <f>154550/31</f>
        <v>4985.4838709677415</v>
      </c>
      <c r="E206" s="79">
        <f>17569.5511/31</f>
        <v>566.75971290322582</v>
      </c>
      <c r="F206" s="79">
        <f>67475/31</f>
        <v>2176.6129032258063</v>
      </c>
      <c r="G206" s="79">
        <f>381404/31</f>
        <v>12303.354838709678</v>
      </c>
      <c r="H206" s="79">
        <f>5408.3198/31</f>
        <v>174.46192903225807</v>
      </c>
      <c r="I206" s="79">
        <f>390395/31</f>
        <v>12593.387096774193</v>
      </c>
      <c r="J206" s="68">
        <f>12486376.6671/31</f>
        <v>402786.34409999999</v>
      </c>
      <c r="K206" s="68">
        <f>16036673/31</f>
        <v>517312.03225806454</v>
      </c>
      <c r="L206" s="68"/>
      <c r="M206" s="79">
        <f>974013/31</f>
        <v>31419.774193548386</v>
      </c>
      <c r="N206" s="69">
        <f t="shared" si="5"/>
        <v>984318.21090322582</v>
      </c>
      <c r="O206" s="79">
        <f t="shared" si="6"/>
        <v>700299</v>
      </c>
      <c r="P206" s="73">
        <f>+N206*31</f>
        <v>30513864.537999999</v>
      </c>
      <c r="Q206" s="82"/>
      <c r="R206" s="82"/>
    </row>
    <row r="207" spans="2:18" x14ac:dyDescent="0.2">
      <c r="B207" s="64">
        <v>2010.91665990001</v>
      </c>
      <c r="C207" s="47">
        <v>40483</v>
      </c>
      <c r="D207" s="79">
        <f>143999/30</f>
        <v>4799.9666666666662</v>
      </c>
      <c r="E207" s="79">
        <f>17523.6103/30</f>
        <v>584.12034333333338</v>
      </c>
      <c r="F207" s="79">
        <f>72063/30</f>
        <v>2402.1</v>
      </c>
      <c r="G207" s="79">
        <f>370584/30</f>
        <v>12352.8</v>
      </c>
      <c r="H207" s="79">
        <f>10167.1429/30</f>
        <v>338.90476333333334</v>
      </c>
      <c r="I207" s="79">
        <f>471350/30</f>
        <v>15711.666666666666</v>
      </c>
      <c r="J207" s="68">
        <f>13282573.9592/30</f>
        <v>442752.46530666668</v>
      </c>
      <c r="K207" s="68">
        <f>17325490.0447/30</f>
        <v>577516.33482333331</v>
      </c>
      <c r="L207" s="68"/>
      <c r="M207" s="79">
        <f>629402/30</f>
        <v>20980.066666666666</v>
      </c>
      <c r="N207" s="69">
        <f t="shared" si="5"/>
        <v>1077438.4252366666</v>
      </c>
      <c r="O207" s="79">
        <f t="shared" si="6"/>
        <v>700299</v>
      </c>
      <c r="P207" s="73">
        <f>N207*30</f>
        <v>32323152.757099997</v>
      </c>
      <c r="Q207" s="82"/>
      <c r="R207" s="82"/>
    </row>
    <row r="208" spans="2:18" x14ac:dyDescent="0.2">
      <c r="B208" s="64">
        <v>2010.9999932000101</v>
      </c>
      <c r="C208" s="47">
        <v>40513</v>
      </c>
      <c r="D208" s="79">
        <v>4818</v>
      </c>
      <c r="E208" s="79">
        <v>658</v>
      </c>
      <c r="F208" s="79">
        <v>2364</v>
      </c>
      <c r="G208" s="79">
        <v>12017</v>
      </c>
      <c r="H208" s="79">
        <v>569</v>
      </c>
      <c r="I208" s="79">
        <v>12800</v>
      </c>
      <c r="J208" s="68">
        <f>11399945.1911/31</f>
        <v>367740.16745483869</v>
      </c>
      <c r="K208" s="68">
        <f>18458523.645/31</f>
        <v>595436.2466129032</v>
      </c>
      <c r="L208" s="68"/>
      <c r="M208" s="79">
        <v>13650</v>
      </c>
      <c r="N208" s="69">
        <f t="shared" si="5"/>
        <v>1010052.4140677419</v>
      </c>
      <c r="O208" s="79">
        <f t="shared" si="6"/>
        <v>700299</v>
      </c>
      <c r="P208" s="73">
        <f t="shared" ref="P208:P213" si="7">N208-N207</f>
        <v>-67386.011168924626</v>
      </c>
      <c r="Q208" s="83"/>
      <c r="R208" s="83"/>
    </row>
    <row r="209" spans="2:18" x14ac:dyDescent="0.2">
      <c r="B209" s="64">
        <v>2011.0833265000099</v>
      </c>
      <c r="C209" s="47">
        <v>40544</v>
      </c>
      <c r="D209" s="79">
        <v>4287.6129000000001</v>
      </c>
      <c r="E209" s="79">
        <v>716.13</v>
      </c>
      <c r="F209" s="79">
        <v>2187.8386999999998</v>
      </c>
      <c r="G209" s="79">
        <v>11000.3226</v>
      </c>
      <c r="H209" s="79">
        <v>1325.0951</v>
      </c>
      <c r="I209" s="79">
        <v>9560.5161000000007</v>
      </c>
      <c r="J209" s="79">
        <v>367427.41869999998</v>
      </c>
      <c r="K209" s="79">
        <v>610255.51520000002</v>
      </c>
      <c r="L209" s="79"/>
      <c r="M209" s="79">
        <v>13302.3226</v>
      </c>
      <c r="N209" s="69">
        <f t="shared" si="5"/>
        <v>1020062.7718999999</v>
      </c>
      <c r="O209" s="79">
        <v>1099094</v>
      </c>
      <c r="P209" s="73">
        <f t="shared" si="7"/>
        <v>10010.357832257985</v>
      </c>
      <c r="Q209" s="73"/>
      <c r="R209" s="73"/>
    </row>
    <row r="210" spans="2:18" x14ac:dyDescent="0.2">
      <c r="B210" s="64">
        <v>2011.1666598000099</v>
      </c>
      <c r="C210" s="47">
        <v>40575</v>
      </c>
      <c r="D210" s="79">
        <f>131510/28</f>
        <v>4696.7857142857147</v>
      </c>
      <c r="E210" s="79">
        <f>23613.2536/28</f>
        <v>843.33048571428571</v>
      </c>
      <c r="F210" s="79">
        <f>70672/28</f>
        <v>2524</v>
      </c>
      <c r="G210" s="79">
        <f>335390/28</f>
        <v>11978.214285714286</v>
      </c>
      <c r="H210" s="79">
        <f>16711.1428/28</f>
        <v>596.82652857142864</v>
      </c>
      <c r="I210" s="79">
        <f>311108/28</f>
        <v>11111</v>
      </c>
      <c r="J210" s="79">
        <f>11379616.3725/28</f>
        <v>406414.8704464286</v>
      </c>
      <c r="K210" s="79">
        <f>17074936.2407/28</f>
        <v>609819.15145357139</v>
      </c>
      <c r="L210" s="79"/>
      <c r="M210" s="79">
        <f>579195/28</f>
        <v>20685.535714285714</v>
      </c>
      <c r="N210" s="69">
        <f t="shared" si="5"/>
        <v>1068669.7146285714</v>
      </c>
      <c r="O210" s="79">
        <f>+O209</f>
        <v>1099094</v>
      </c>
      <c r="P210" s="73">
        <f t="shared" si="7"/>
        <v>48606.942728571477</v>
      </c>
      <c r="Q210" s="73"/>
      <c r="R210" s="73"/>
    </row>
    <row r="211" spans="2:18" x14ac:dyDescent="0.2">
      <c r="B211" s="64">
        <v>2011.24999310001</v>
      </c>
      <c r="C211" s="47">
        <v>40603</v>
      </c>
      <c r="D211" s="79">
        <f>147969/31</f>
        <v>4773.1935483870966</v>
      </c>
      <c r="E211" s="79">
        <f>28565.6959/31</f>
        <v>921.47406129032254</v>
      </c>
      <c r="F211" s="79">
        <f>85171/31</f>
        <v>2747.4516129032259</v>
      </c>
      <c r="G211" s="79">
        <f>395794/31</f>
        <v>12767.548387096775</v>
      </c>
      <c r="H211" s="79">
        <f>25677.0434/31</f>
        <v>828.29172258064511</v>
      </c>
      <c r="I211" s="79">
        <f>388055/31</f>
        <v>12517.903225806451</v>
      </c>
      <c r="J211" s="79">
        <f>11564560.1689/31</f>
        <v>373050.32802903227</v>
      </c>
      <c r="K211" s="79">
        <f>11125452.5796/31</f>
        <v>358885.56708387099</v>
      </c>
      <c r="L211" s="79"/>
      <c r="M211" s="79">
        <f>406136/31</f>
        <v>13101.161290322581</v>
      </c>
      <c r="N211" s="69">
        <f t="shared" si="5"/>
        <v>779592.91896129039</v>
      </c>
      <c r="O211" s="79">
        <f>+O210</f>
        <v>1099094</v>
      </c>
      <c r="P211" s="69">
        <f t="shared" si="7"/>
        <v>-289076.79566728103</v>
      </c>
    </row>
    <row r="212" spans="2:18" x14ac:dyDescent="0.2">
      <c r="B212" s="64">
        <v>2011.33332640001</v>
      </c>
      <c r="C212" s="47">
        <v>40634</v>
      </c>
      <c r="D212" s="79">
        <f>143158/30</f>
        <v>4771.9333333333334</v>
      </c>
      <c r="E212" s="79">
        <f>24569.158/30</f>
        <v>818.97193333333337</v>
      </c>
      <c r="F212" s="79">
        <f>76772/30</f>
        <v>2559.0666666666666</v>
      </c>
      <c r="G212" s="79">
        <f>391044/30</f>
        <v>13034.8</v>
      </c>
      <c r="H212" s="79">
        <f>104006.6814/30</f>
        <v>3466.8893800000001</v>
      </c>
      <c r="I212" s="79">
        <f>307439/30</f>
        <v>10247.966666666667</v>
      </c>
      <c r="J212" s="79">
        <f>11560492.325/30</f>
        <v>385349.74416666664</v>
      </c>
      <c r="K212" s="79">
        <f>18118499.2282/30</f>
        <v>603949.97427333333</v>
      </c>
      <c r="L212" s="79"/>
      <c r="M212" s="79">
        <f>308682/30</f>
        <v>10289.4</v>
      </c>
      <c r="N212" s="69">
        <f t="shared" si="5"/>
        <v>1034488.74642</v>
      </c>
      <c r="O212" s="79">
        <f t="shared" ref="O212:O220" si="8">+O211</f>
        <v>1099094</v>
      </c>
      <c r="P212" s="69">
        <f t="shared" si="7"/>
        <v>254895.82745870959</v>
      </c>
    </row>
    <row r="213" spans="2:18" x14ac:dyDescent="0.2">
      <c r="B213" s="64">
        <v>2011.4166597000101</v>
      </c>
      <c r="C213" s="47">
        <v>40664</v>
      </c>
      <c r="D213" s="79">
        <v>4193.2902999999997</v>
      </c>
      <c r="E213" s="79">
        <v>894.8442</v>
      </c>
      <c r="F213" s="79">
        <v>2480.9355</v>
      </c>
      <c r="G213" s="79">
        <v>14177.483899999999</v>
      </c>
      <c r="H213" s="79">
        <v>1356.5744999999999</v>
      </c>
      <c r="I213" s="79">
        <v>11597.6774</v>
      </c>
      <c r="J213" s="79">
        <v>432172.87709999998</v>
      </c>
      <c r="K213" s="79">
        <v>634906.19550000003</v>
      </c>
      <c r="L213" s="79"/>
      <c r="M213" s="79">
        <v>10148.354799999999</v>
      </c>
      <c r="N213" s="69">
        <f t="shared" si="5"/>
        <v>1111928.2332000001</v>
      </c>
      <c r="O213" s="79">
        <f t="shared" si="8"/>
        <v>1099094</v>
      </c>
      <c r="P213" s="69">
        <f t="shared" si="7"/>
        <v>77439.486780000152</v>
      </c>
    </row>
    <row r="214" spans="2:18" x14ac:dyDescent="0.2">
      <c r="B214" s="64">
        <v>2011.4999930000099</v>
      </c>
      <c r="C214" s="47">
        <v>40695</v>
      </c>
      <c r="D214" s="79">
        <f>128333/30</f>
        <v>4277.7666666666664</v>
      </c>
      <c r="E214" s="79">
        <f>29020.656/30</f>
        <v>967.35519999999997</v>
      </c>
      <c r="F214" s="79">
        <f>67981/30</f>
        <v>2266.0333333333333</v>
      </c>
      <c r="G214" s="79">
        <f>409834/30</f>
        <v>13661.133333333333</v>
      </c>
      <c r="H214" s="79">
        <f>8866.1551/30</f>
        <v>295.53850333333332</v>
      </c>
      <c r="I214" s="79">
        <f>411116/30</f>
        <v>13703.866666666667</v>
      </c>
      <c r="J214" s="79">
        <f>13911463.9068/30</f>
        <v>463715.46356</v>
      </c>
      <c r="K214" s="79">
        <f>16407164.597/30</f>
        <v>546905.48656666663</v>
      </c>
      <c r="L214" s="79"/>
      <c r="M214" s="79">
        <f>589380/30</f>
        <v>19646</v>
      </c>
      <c r="N214" s="69">
        <f t="shared" si="5"/>
        <v>1065438.64383</v>
      </c>
      <c r="O214" s="79">
        <f t="shared" si="8"/>
        <v>1099094</v>
      </c>
      <c r="P214" s="69">
        <f t="shared" ref="P214:P225" si="9">N214-N213</f>
        <v>-46489.589370000176</v>
      </c>
    </row>
    <row r="215" spans="2:18" x14ac:dyDescent="0.2">
      <c r="B215" s="64">
        <v>2011.58332630001</v>
      </c>
      <c r="C215" s="47">
        <v>40725</v>
      </c>
      <c r="D215" s="79">
        <f>144701/31</f>
        <v>4667.7741935483873</v>
      </c>
      <c r="E215" s="79">
        <f>27549.3568/31</f>
        <v>888.6889290322581</v>
      </c>
      <c r="F215" s="79">
        <f>86428/31</f>
        <v>2788</v>
      </c>
      <c r="G215" s="79">
        <f>469178/31</f>
        <v>15134.774193548386</v>
      </c>
      <c r="H215" s="79">
        <f>5914.9041/31</f>
        <v>190.80335806451612</v>
      </c>
      <c r="I215" s="79">
        <f>372222.0982/31</f>
        <v>12007.164458064517</v>
      </c>
      <c r="J215" s="79">
        <f>15603115.7299/31</f>
        <v>503326.31386774196</v>
      </c>
      <c r="K215" s="79">
        <f>18985544.7447/31</f>
        <v>612436.92724838713</v>
      </c>
      <c r="L215" s="79"/>
      <c r="M215" s="79">
        <f>449749/31</f>
        <v>14508.032258064517</v>
      </c>
      <c r="N215" s="69">
        <f t="shared" si="5"/>
        <v>1165948.4785064517</v>
      </c>
      <c r="O215" s="79">
        <f t="shared" si="8"/>
        <v>1099094</v>
      </c>
      <c r="P215" s="69">
        <f t="shared" si="9"/>
        <v>100509.83467645175</v>
      </c>
      <c r="Q215" s="84"/>
    </row>
    <row r="216" spans="2:18" x14ac:dyDescent="0.2">
      <c r="B216" s="64">
        <v>2011.66665960001</v>
      </c>
      <c r="C216" s="47">
        <v>40756</v>
      </c>
      <c r="D216" s="79">
        <f>143954/31</f>
        <v>4643.677419354839</v>
      </c>
      <c r="E216" s="79">
        <v>960.83870967741939</v>
      </c>
      <c r="F216" s="79">
        <f>82710/31</f>
        <v>2668.0645161290322</v>
      </c>
      <c r="G216" s="79">
        <f>482524/31</f>
        <v>15565.290322580646</v>
      </c>
      <c r="H216" s="79">
        <v>178.45161290322579</v>
      </c>
      <c r="I216" s="79">
        <f>436130/31</f>
        <v>14068.709677419354</v>
      </c>
      <c r="J216" s="79">
        <f>16142671/31</f>
        <v>520731.32258064515</v>
      </c>
      <c r="K216" s="79">
        <f>19848658/31</f>
        <v>640279.29032258061</v>
      </c>
      <c r="L216" s="79"/>
      <c r="M216" s="79">
        <f>682064/31</f>
        <v>22002.064516129034</v>
      </c>
      <c r="N216" s="69">
        <f t="shared" si="5"/>
        <v>1221097.7096774192</v>
      </c>
      <c r="O216" s="79">
        <f t="shared" si="8"/>
        <v>1099094</v>
      </c>
      <c r="P216" s="69">
        <f t="shared" si="9"/>
        <v>55149.231170967454</v>
      </c>
      <c r="Q216" s="84">
        <f>+N216*31</f>
        <v>37854028.999999993</v>
      </c>
    </row>
    <row r="217" spans="2:18" x14ac:dyDescent="0.2">
      <c r="B217" s="64">
        <v>2011.7499929000101</v>
      </c>
      <c r="C217" s="47">
        <v>40787</v>
      </c>
      <c r="D217" s="79">
        <f>142560/30</f>
        <v>4752</v>
      </c>
      <c r="E217" s="79">
        <v>942</v>
      </c>
      <c r="F217" s="79">
        <f>79675/30</f>
        <v>2655.8333333333335</v>
      </c>
      <c r="G217" s="79">
        <f>462774/30</f>
        <v>15425.8</v>
      </c>
      <c r="H217" s="79">
        <v>155</v>
      </c>
      <c r="I217" s="79">
        <f>375714/30</f>
        <v>12523.8</v>
      </c>
      <c r="J217" s="79">
        <f>15582021/30</f>
        <v>519400.7</v>
      </c>
      <c r="K217" s="79">
        <f>17835239/30</f>
        <v>594507.96666666667</v>
      </c>
      <c r="L217" s="79"/>
      <c r="M217" s="79">
        <f>803284/30</f>
        <v>26776.133333333335</v>
      </c>
      <c r="N217" s="69">
        <f t="shared" si="5"/>
        <v>1177139.2333333334</v>
      </c>
      <c r="O217" s="79">
        <f t="shared" si="8"/>
        <v>1099094</v>
      </c>
      <c r="P217" s="69">
        <f t="shared" si="9"/>
        <v>-43958.476344085764</v>
      </c>
      <c r="Q217" s="84">
        <f>+N217*30</f>
        <v>35314177</v>
      </c>
    </row>
    <row r="218" spans="2:18" x14ac:dyDescent="0.2">
      <c r="B218" s="64">
        <v>2011.8333262000101</v>
      </c>
      <c r="C218" s="47">
        <v>40817</v>
      </c>
      <c r="D218" s="79">
        <f>147612/31</f>
        <v>4761.677419354839</v>
      </c>
      <c r="E218" s="79">
        <v>916.51612903225805</v>
      </c>
      <c r="F218" s="79">
        <f>83153/31</f>
        <v>2682.3548387096776</v>
      </c>
      <c r="G218" s="79">
        <f>454551/31</f>
        <v>14662.935483870968</v>
      </c>
      <c r="H218" s="79">
        <v>176.74193548387098</v>
      </c>
      <c r="I218" s="79">
        <f>297875/31</f>
        <v>9608.8709677419356</v>
      </c>
      <c r="J218" s="79">
        <f>16455610/31</f>
        <v>530826.12903225806</v>
      </c>
      <c r="K218" s="79">
        <f>18931865/31</f>
        <v>610705.32258064521</v>
      </c>
      <c r="L218" s="79"/>
      <c r="M218" s="79">
        <f>832153/31</f>
        <v>26843.645161290322</v>
      </c>
      <c r="N218" s="69">
        <f t="shared" si="5"/>
        <v>1201184.1935483871</v>
      </c>
      <c r="O218" s="79">
        <f t="shared" si="8"/>
        <v>1099094</v>
      </c>
      <c r="P218" s="69">
        <f t="shared" si="9"/>
        <v>24044.960215053754</v>
      </c>
      <c r="Q218" s="84">
        <f>+N218*31</f>
        <v>37236710</v>
      </c>
    </row>
    <row r="219" spans="2:18" x14ac:dyDescent="0.2">
      <c r="B219" s="64">
        <v>2011.9166595000099</v>
      </c>
      <c r="C219" s="47">
        <v>40848</v>
      </c>
      <c r="D219" s="79">
        <f>144746/30</f>
        <v>4824.8666666666668</v>
      </c>
      <c r="E219" s="79">
        <v>964.66666666666663</v>
      </c>
      <c r="F219" s="79">
        <f>82035/30</f>
        <v>2734.5</v>
      </c>
      <c r="G219" s="79">
        <f>434043/30</f>
        <v>14468.1</v>
      </c>
      <c r="H219" s="79">
        <v>638.36666666666667</v>
      </c>
      <c r="I219" s="79">
        <f>264752/30</f>
        <v>8825.0666666666675</v>
      </c>
      <c r="J219" s="79">
        <f>15037203/30</f>
        <v>501240.1</v>
      </c>
      <c r="K219" s="79">
        <f>18895186/30</f>
        <v>629839.53333333333</v>
      </c>
      <c r="L219" s="79"/>
      <c r="M219" s="79">
        <f>608303/30</f>
        <v>20276.766666666666</v>
      </c>
      <c r="N219" s="69">
        <f t="shared" si="5"/>
        <v>1183811.9666666666</v>
      </c>
      <c r="O219" s="79">
        <f t="shared" si="8"/>
        <v>1099094</v>
      </c>
      <c r="P219" s="69">
        <f t="shared" si="9"/>
        <v>-17372.226881720591</v>
      </c>
      <c r="Q219" s="84">
        <f>+N219*31</f>
        <v>36698170.966666661</v>
      </c>
    </row>
    <row r="220" spans="2:18" ht="13.5" thickBot="1" x14ac:dyDescent="0.25">
      <c r="B220" s="64">
        <v>2011.99999280001</v>
      </c>
      <c r="C220" s="47">
        <v>40878</v>
      </c>
      <c r="D220" s="86">
        <v>4312.2258064516127</v>
      </c>
      <c r="E220" s="86">
        <v>981.67741935483866</v>
      </c>
      <c r="F220" s="86">
        <v>2292.5806451612902</v>
      </c>
      <c r="G220" s="86">
        <v>10741.096774193549</v>
      </c>
      <c r="H220" s="86">
        <v>2032.2258064516129</v>
      </c>
      <c r="I220" s="86">
        <v>7048.1935483870966</v>
      </c>
      <c r="J220" s="86">
        <v>487324.51612903224</v>
      </c>
      <c r="K220" s="86">
        <v>625423.06451612909</v>
      </c>
      <c r="L220" s="86"/>
      <c r="M220" s="86">
        <v>18749.935483870966</v>
      </c>
      <c r="N220" s="87">
        <f t="shared" si="5"/>
        <v>1158905.5161290322</v>
      </c>
      <c r="O220" s="86">
        <f t="shared" si="8"/>
        <v>1099094</v>
      </c>
      <c r="P220" s="69">
        <f t="shared" si="9"/>
        <v>-24906.450537634315</v>
      </c>
      <c r="Q220" s="84">
        <f>+N220*31</f>
        <v>35926071</v>
      </c>
    </row>
    <row r="221" spans="2:18" x14ac:dyDescent="0.2">
      <c r="B221" s="64">
        <v>2012.08332610001</v>
      </c>
      <c r="C221" s="52">
        <v>40909</v>
      </c>
      <c r="D221" s="91">
        <v>4653.3226000000004</v>
      </c>
      <c r="E221" s="88">
        <v>955.6377</v>
      </c>
      <c r="F221" s="88">
        <v>2782.3870999999999</v>
      </c>
      <c r="G221" s="88">
        <v>8587.5805999999993</v>
      </c>
      <c r="H221" s="88">
        <v>684.76080000000002</v>
      </c>
      <c r="I221" s="88">
        <v>7727.4215999999997</v>
      </c>
      <c r="J221" s="88">
        <v>433129.41350000002</v>
      </c>
      <c r="K221" s="88">
        <v>532903.49470000004</v>
      </c>
      <c r="L221" s="88"/>
      <c r="M221" s="88">
        <v>13807.53</v>
      </c>
      <c r="N221" s="89">
        <f t="shared" si="5"/>
        <v>1005231.5486000001</v>
      </c>
      <c r="O221" s="90">
        <v>1144247.9535519127</v>
      </c>
      <c r="P221" s="85">
        <f t="shared" si="9"/>
        <v>-153673.96752903215</v>
      </c>
      <c r="Q221" s="84">
        <f>+N221*31</f>
        <v>31162178.006600004</v>
      </c>
    </row>
    <row r="222" spans="2:18" x14ac:dyDescent="0.2">
      <c r="B222" s="64">
        <v>2012.1666594000101</v>
      </c>
      <c r="C222" s="52">
        <v>40940</v>
      </c>
      <c r="D222" s="92">
        <f>122803/29</f>
        <v>4234.5862068965516</v>
      </c>
      <c r="E222" s="79">
        <v>956.17241379310349</v>
      </c>
      <c r="F222" s="79">
        <f>80910/29</f>
        <v>2790</v>
      </c>
      <c r="G222" s="79">
        <f>259582/29</f>
        <v>8951.1034482758623</v>
      </c>
      <c r="H222" s="79">
        <f>6939.29/29</f>
        <v>239.28586206896551</v>
      </c>
      <c r="I222" s="79">
        <f>250816.208/29</f>
        <v>8648.834758620691</v>
      </c>
      <c r="J222" s="79">
        <f>14547055.897/29</f>
        <v>501622.61713793105</v>
      </c>
      <c r="K222" s="79">
        <f>17585761.946/29</f>
        <v>606405.58434482757</v>
      </c>
      <c r="L222" s="79"/>
      <c r="M222" s="79">
        <f>394453.605/29</f>
        <v>13601.848448275861</v>
      </c>
      <c r="N222" s="69">
        <f t="shared" si="5"/>
        <v>1147450.0326206896</v>
      </c>
      <c r="O222" s="93">
        <f>O221</f>
        <v>1144247.9535519127</v>
      </c>
      <c r="P222" s="85">
        <f t="shared" si="9"/>
        <v>142218.4840206895</v>
      </c>
      <c r="Q222" s="84">
        <f>+N222*29</f>
        <v>33276050.945999999</v>
      </c>
    </row>
    <row r="223" spans="2:18" x14ac:dyDescent="0.2">
      <c r="B223" s="64">
        <v>2012.2499927000099</v>
      </c>
      <c r="C223" s="52">
        <v>40969</v>
      </c>
      <c r="D223" s="92">
        <f>135818/31</f>
        <v>4381.2258064516127</v>
      </c>
      <c r="E223" s="86">
        <f>30666.0433/31</f>
        <v>989.22720322580653</v>
      </c>
      <c r="F223" s="86">
        <f>83899/31</f>
        <v>2706.4193548387098</v>
      </c>
      <c r="G223" s="86">
        <f>295351/31</f>
        <v>9527.4516129032254</v>
      </c>
      <c r="H223" s="86">
        <f>10165.0753/31</f>
        <v>327.90565483870967</v>
      </c>
      <c r="I223" s="79">
        <f>240552.7671/31</f>
        <v>7759.7666806451616</v>
      </c>
      <c r="J223" s="86">
        <f>15568887.3329/31</f>
        <v>502222.17202903226</v>
      </c>
      <c r="K223" s="79">
        <f>19255837.3517/31</f>
        <v>621156.04360322584</v>
      </c>
      <c r="L223" s="79"/>
      <c r="M223" s="79">
        <f>748345.131/31</f>
        <v>24140.165516129033</v>
      </c>
      <c r="N223" s="69">
        <f t="shared" si="5"/>
        <v>1173210.3774612902</v>
      </c>
      <c r="O223" s="93">
        <f t="shared" ref="O223:O232" si="10">+O222</f>
        <v>1144247.9535519127</v>
      </c>
      <c r="P223" s="85">
        <f t="shared" si="9"/>
        <v>25760.344840600621</v>
      </c>
      <c r="Q223" s="84">
        <f>+N223*31</f>
        <v>36369521.701299995</v>
      </c>
    </row>
    <row r="224" spans="2:18" x14ac:dyDescent="0.2">
      <c r="B224" s="64">
        <v>2012.3333260000099</v>
      </c>
      <c r="C224" s="52">
        <v>41000</v>
      </c>
      <c r="D224" s="92">
        <v>4652.5</v>
      </c>
      <c r="E224" s="86">
        <v>879.50766666666664</v>
      </c>
      <c r="F224" s="86">
        <v>2753</v>
      </c>
      <c r="G224" s="86">
        <v>7716.4</v>
      </c>
      <c r="H224" s="86">
        <f>11956.23/30</f>
        <v>398.541</v>
      </c>
      <c r="I224" s="86">
        <f>235220.91/30</f>
        <v>7840.6970000000001</v>
      </c>
      <c r="J224" s="86">
        <f>14038756.55/30</f>
        <v>467958.5516666667</v>
      </c>
      <c r="K224" s="86">
        <f>17309755.26/30</f>
        <v>576991.84200000006</v>
      </c>
      <c r="L224" s="86"/>
      <c r="M224" s="86">
        <f>610435.96/30</f>
        <v>20347.865333333331</v>
      </c>
      <c r="N224" s="69">
        <f t="shared" ref="N224:N250" si="11">SUM(D224:M224)</f>
        <v>1089538.9046666669</v>
      </c>
      <c r="O224" s="93">
        <f t="shared" si="10"/>
        <v>1144247.9535519127</v>
      </c>
      <c r="P224" s="85">
        <f t="shared" si="9"/>
        <v>-83671.472794623347</v>
      </c>
      <c r="Q224" s="84">
        <f>+N224*30</f>
        <v>32686167.140000008</v>
      </c>
    </row>
    <row r="225" spans="2:17" x14ac:dyDescent="0.2">
      <c r="B225" s="64">
        <v>2012.41665930001</v>
      </c>
      <c r="C225" s="52">
        <v>41030</v>
      </c>
      <c r="D225" s="92">
        <v>4878.7741935483873</v>
      </c>
      <c r="E225" s="86">
        <v>967.54451612903233</v>
      </c>
      <c r="F225" s="86">
        <v>2894.9354838709678</v>
      </c>
      <c r="G225" s="86">
        <v>8271.677419354839</v>
      </c>
      <c r="H225" s="86">
        <v>258.84129032258062</v>
      </c>
      <c r="I225" s="86">
        <v>6319.3793548387102</v>
      </c>
      <c r="J225" s="86">
        <v>507187.00290322577</v>
      </c>
      <c r="K225" s="86">
        <v>598636.33129032259</v>
      </c>
      <c r="L225" s="86"/>
      <c r="M225" s="86">
        <v>25842.352258064519</v>
      </c>
      <c r="N225" s="69">
        <f t="shared" si="11"/>
        <v>1155256.8387096773</v>
      </c>
      <c r="O225" s="93">
        <f t="shared" si="10"/>
        <v>1144247.9535519127</v>
      </c>
      <c r="P225" s="85">
        <f t="shared" si="9"/>
        <v>65717.934043010464</v>
      </c>
      <c r="Q225" s="84">
        <f>+N225*31</f>
        <v>35812962</v>
      </c>
    </row>
    <row r="226" spans="2:17" x14ac:dyDescent="0.2">
      <c r="B226" s="64">
        <v>2012.49999260001</v>
      </c>
      <c r="C226" s="52">
        <v>41061</v>
      </c>
      <c r="D226" s="92">
        <v>5054.4333333333334</v>
      </c>
      <c r="E226" s="86">
        <v>974.37199999999996</v>
      </c>
      <c r="F226" s="86">
        <v>2934.9666666666667</v>
      </c>
      <c r="G226" s="86">
        <v>12569.4</v>
      </c>
      <c r="H226" s="86">
        <v>2113.5833333333335</v>
      </c>
      <c r="I226" s="86">
        <v>10253.098</v>
      </c>
      <c r="J226" s="86">
        <v>541730.1096666666</v>
      </c>
      <c r="K226" s="86">
        <v>639236.272</v>
      </c>
      <c r="L226" s="86"/>
      <c r="M226" s="86">
        <v>48174.685666666672</v>
      </c>
      <c r="N226" s="69">
        <f t="shared" si="11"/>
        <v>1263040.9206666665</v>
      </c>
      <c r="O226" s="93">
        <f t="shared" si="10"/>
        <v>1144247.9535519127</v>
      </c>
      <c r="P226" s="85">
        <f>N226-N225</f>
        <v>107784.08195698913</v>
      </c>
      <c r="Q226" s="84">
        <f>+N226*30</f>
        <v>37891227.619999997</v>
      </c>
    </row>
    <row r="227" spans="2:17" x14ac:dyDescent="0.2">
      <c r="B227" s="64">
        <v>2012.5833259000101</v>
      </c>
      <c r="C227" s="52">
        <v>41091</v>
      </c>
      <c r="D227" s="92">
        <v>5039.2581</v>
      </c>
      <c r="E227" s="86">
        <v>960.26310000000001</v>
      </c>
      <c r="F227" s="86">
        <v>2681.2903000000001</v>
      </c>
      <c r="G227" s="86">
        <v>14394.741900000001</v>
      </c>
      <c r="H227" s="86">
        <v>1500.0385000000001</v>
      </c>
      <c r="I227" s="86">
        <v>12692.200999999999</v>
      </c>
      <c r="J227" s="86">
        <v>558676.35320000001</v>
      </c>
      <c r="K227" s="86">
        <v>633208.02339999995</v>
      </c>
      <c r="L227" s="86"/>
      <c r="M227" s="86">
        <v>46208.952899999997</v>
      </c>
      <c r="N227" s="19">
        <f t="shared" si="11"/>
        <v>1275361.1223999998</v>
      </c>
      <c r="O227" s="93">
        <f t="shared" si="10"/>
        <v>1144247.9535519127</v>
      </c>
      <c r="P227" s="85">
        <f t="shared" ref="P227:P259" si="12">N227-N226</f>
        <v>12320.201733333291</v>
      </c>
      <c r="Q227" s="84">
        <f>+N227*31</f>
        <v>39536194.794399992</v>
      </c>
    </row>
    <row r="228" spans="2:17" x14ac:dyDescent="0.2">
      <c r="B228" s="64">
        <v>2012.6666592000099</v>
      </c>
      <c r="C228" s="52">
        <v>41122</v>
      </c>
      <c r="D228" s="92">
        <v>4333.2580645161288</v>
      </c>
      <c r="E228" s="86">
        <v>1022.4916774193548</v>
      </c>
      <c r="F228" s="86">
        <v>2807.2580645161293</v>
      </c>
      <c r="G228" s="86">
        <v>14675.322580645161</v>
      </c>
      <c r="H228" s="86">
        <v>6661.0661290322578</v>
      </c>
      <c r="I228" s="86">
        <v>10900.183967741936</v>
      </c>
      <c r="J228" s="86">
        <v>531282.59080645163</v>
      </c>
      <c r="K228" s="86">
        <v>616292.8479032258</v>
      </c>
      <c r="L228" s="86"/>
      <c r="M228" s="86">
        <v>48092.079354838708</v>
      </c>
      <c r="N228" s="19">
        <f t="shared" si="11"/>
        <v>1236067.0985483869</v>
      </c>
      <c r="O228" s="93">
        <f t="shared" si="10"/>
        <v>1144247.9535519127</v>
      </c>
      <c r="P228" s="85">
        <f t="shared" si="12"/>
        <v>-39294.023851612816</v>
      </c>
      <c r="Q228" s="84">
        <f>+N228*31</f>
        <v>38318080.054999992</v>
      </c>
    </row>
    <row r="229" spans="2:17" x14ac:dyDescent="0.2">
      <c r="B229" s="64">
        <v>2012.74999250001</v>
      </c>
      <c r="C229" s="52">
        <v>41153</v>
      </c>
      <c r="D229" s="92">
        <v>4917.833333333333</v>
      </c>
      <c r="E229" s="86">
        <v>863.27116333333333</v>
      </c>
      <c r="F229" s="86">
        <v>3244.2666666666669</v>
      </c>
      <c r="G229" s="86">
        <v>16223.566666666668</v>
      </c>
      <c r="H229" s="86">
        <v>6558.4774400000006</v>
      </c>
      <c r="I229" s="86">
        <v>12191.5126</v>
      </c>
      <c r="J229" s="86">
        <v>532219.28875333327</v>
      </c>
      <c r="K229" s="86">
        <v>633219.14832000004</v>
      </c>
      <c r="L229" s="86"/>
      <c r="M229" s="86">
        <v>48268.083333333336</v>
      </c>
      <c r="N229" s="19">
        <f t="shared" si="11"/>
        <v>1257705.4482766667</v>
      </c>
      <c r="O229" s="93">
        <f t="shared" si="10"/>
        <v>1144247.9535519127</v>
      </c>
      <c r="P229" s="85">
        <f t="shared" si="12"/>
        <v>21638.349728279747</v>
      </c>
      <c r="Q229" s="84">
        <f>+N229*30</f>
        <v>37731163.448300004</v>
      </c>
    </row>
    <row r="230" spans="2:17" x14ac:dyDescent="0.2">
      <c r="B230" s="64">
        <v>2012.83332580001</v>
      </c>
      <c r="C230" s="52">
        <v>41183</v>
      </c>
      <c r="D230" s="92">
        <f>166297/31</f>
        <v>5364.4193548387093</v>
      </c>
      <c r="E230" s="86">
        <f>25604.9853/31</f>
        <v>825.96726774193553</v>
      </c>
      <c r="F230" s="86">
        <f>116430/31</f>
        <v>3755.8064516129034</v>
      </c>
      <c r="G230" s="86">
        <f>407080/31</f>
        <v>13131.612903225807</v>
      </c>
      <c r="H230" s="86">
        <f>118520.5109/31</f>
        <v>3823.2422870967739</v>
      </c>
      <c r="I230" s="86">
        <f>275969.6434/31</f>
        <v>8902.2465612903234</v>
      </c>
      <c r="J230" s="86">
        <f>15329752.5936/31</f>
        <v>494508.14818064513</v>
      </c>
      <c r="K230" s="86">
        <f>19237629.888/31</f>
        <v>620568.7060645161</v>
      </c>
      <c r="L230" s="86"/>
      <c r="M230" s="86">
        <f>1185117.9709/31</f>
        <v>38229.611964516131</v>
      </c>
      <c r="N230" s="19">
        <f t="shared" si="11"/>
        <v>1189109.7610354838</v>
      </c>
      <c r="O230" s="93">
        <f t="shared" si="10"/>
        <v>1144247.9535519127</v>
      </c>
      <c r="P230" s="85">
        <f t="shared" si="12"/>
        <v>-68595.687241182895</v>
      </c>
    </row>
    <row r="231" spans="2:17" x14ac:dyDescent="0.2">
      <c r="B231" s="64">
        <v>2012.9166591000101</v>
      </c>
      <c r="C231" s="52">
        <v>41214</v>
      </c>
      <c r="D231" s="92">
        <v>5499.6333000000004</v>
      </c>
      <c r="E231" s="86">
        <v>963.65260000000001</v>
      </c>
      <c r="F231" s="86">
        <v>3806.4666999999999</v>
      </c>
      <c r="G231" s="86">
        <v>6833.1666999999998</v>
      </c>
      <c r="H231" s="86">
        <v>6547.6234999999997</v>
      </c>
      <c r="I231" s="86">
        <v>3864.8263000000002</v>
      </c>
      <c r="J231" s="86">
        <v>440466.9142</v>
      </c>
      <c r="K231" s="86">
        <v>332876.84669999999</v>
      </c>
      <c r="L231" s="86"/>
      <c r="M231" s="86">
        <v>28726.049200000001</v>
      </c>
      <c r="N231" s="19">
        <f t="shared" si="11"/>
        <v>829585.17920000001</v>
      </c>
      <c r="O231" s="93">
        <f t="shared" si="10"/>
        <v>1144247.9535519127</v>
      </c>
      <c r="P231" s="85">
        <f t="shared" si="12"/>
        <v>-359524.58183548378</v>
      </c>
    </row>
    <row r="232" spans="2:17" x14ac:dyDescent="0.2">
      <c r="B232" s="64">
        <v>2012.9999924000099</v>
      </c>
      <c r="C232" s="94">
        <v>41244</v>
      </c>
      <c r="D232" s="92">
        <v>4381.7096774193551</v>
      </c>
      <c r="E232" s="86">
        <v>1030.6552580645161</v>
      </c>
      <c r="F232" s="86">
        <v>2940.0967741935483</v>
      </c>
      <c r="G232" s="86">
        <v>6135.9354838709678</v>
      </c>
      <c r="H232" s="86">
        <v>6146.552483870968</v>
      </c>
      <c r="I232" s="86">
        <v>2748.7855806451612</v>
      </c>
      <c r="J232" s="86">
        <v>459930.93264516129</v>
      </c>
      <c r="K232" s="86">
        <v>610864.85480645171</v>
      </c>
      <c r="L232" s="86"/>
      <c r="M232" s="86">
        <v>11021.962935483873</v>
      </c>
      <c r="N232" s="28">
        <f t="shared" si="11"/>
        <v>1105201.4856451612</v>
      </c>
      <c r="O232" s="95">
        <f t="shared" si="10"/>
        <v>1144247.9535519127</v>
      </c>
      <c r="P232" s="85">
        <f t="shared" si="12"/>
        <v>275616.30644516123</v>
      </c>
    </row>
    <row r="233" spans="2:17" x14ac:dyDescent="0.2">
      <c r="B233" s="64">
        <v>2013.0833257000099</v>
      </c>
      <c r="C233" s="48">
        <v>41275</v>
      </c>
      <c r="D233" s="92">
        <f>188162/31</f>
        <v>6069.7419354838712</v>
      </c>
      <c r="E233" s="86">
        <f>31491.259/31</f>
        <v>1015.847064516129</v>
      </c>
      <c r="F233" s="86">
        <f>98964/31</f>
        <v>3192.3870967741937</v>
      </c>
      <c r="G233" s="86">
        <f>206356/31</f>
        <v>6656.6451612903229</v>
      </c>
      <c r="H233" s="86">
        <f>183101.1994/31</f>
        <v>5906.4903032258071</v>
      </c>
      <c r="I233" s="86">
        <f>64666.0304/31</f>
        <v>2086.0009806451612</v>
      </c>
      <c r="J233" s="86">
        <f>13293808.0942/31</f>
        <v>428832.51916774194</v>
      </c>
      <c r="K233" s="86">
        <f>19876037.17/31</f>
        <v>641162.48935483873</v>
      </c>
      <c r="L233" s="86"/>
      <c r="M233" s="86">
        <f>371566.4824/31</f>
        <v>11986.015561290322</v>
      </c>
      <c r="N233" s="28">
        <f t="shared" si="11"/>
        <v>1106908.1366258066</v>
      </c>
      <c r="O233" s="95">
        <v>1179614.0900000001</v>
      </c>
      <c r="P233" s="85">
        <f t="shared" si="12"/>
        <v>1706.650980645325</v>
      </c>
    </row>
    <row r="234" spans="2:17" x14ac:dyDescent="0.2">
      <c r="B234" s="64">
        <v>2013.16665900001</v>
      </c>
      <c r="C234" s="48">
        <v>41306</v>
      </c>
      <c r="D234" s="92">
        <f>173009/28</f>
        <v>6178.8928571428569</v>
      </c>
      <c r="E234" s="86">
        <f>25481.3648/28</f>
        <v>910.04874285714288</v>
      </c>
      <c r="F234" s="86">
        <f>88655/28</f>
        <v>3166.25</v>
      </c>
      <c r="G234" s="86">
        <f>199325/28</f>
        <v>7118.75</v>
      </c>
      <c r="H234" s="86">
        <f>165686.8516/28</f>
        <v>5917.3875571428571</v>
      </c>
      <c r="I234" s="86">
        <f>120567.521/28</f>
        <v>4305.9828928571424</v>
      </c>
      <c r="J234" s="86">
        <f>13036657.4288/28</f>
        <v>465594.90817142854</v>
      </c>
      <c r="K234" s="86">
        <f>17901788.6559/28</f>
        <v>639349.5948535715</v>
      </c>
      <c r="L234" s="86"/>
      <c r="M234" s="86">
        <f>516482.423/28</f>
        <v>18445.800821428573</v>
      </c>
      <c r="N234" s="28">
        <f t="shared" si="11"/>
        <v>1150987.6158964287</v>
      </c>
      <c r="O234" s="95">
        <f>+O233</f>
        <v>1179614.0900000001</v>
      </c>
      <c r="P234" s="85">
        <f t="shared" si="12"/>
        <v>44079.479270622134</v>
      </c>
    </row>
    <row r="235" spans="2:17" x14ac:dyDescent="0.2">
      <c r="B235" s="64">
        <v>2013.24999230001</v>
      </c>
      <c r="C235" s="48">
        <v>41334</v>
      </c>
      <c r="D235" s="92">
        <f>61331/31</f>
        <v>1978.4193548387098</v>
      </c>
      <c r="E235" s="86">
        <f>28335.6896/31</f>
        <v>914.05450322580646</v>
      </c>
      <c r="F235" s="86">
        <f>35441/31</f>
        <v>1143.258064516129</v>
      </c>
      <c r="G235" s="86">
        <f>188330/31</f>
        <v>6075.1612903225805</v>
      </c>
      <c r="H235" s="86">
        <f>90241.2261/31</f>
        <v>2911.0072935483872</v>
      </c>
      <c r="I235" s="86">
        <f>38852.0694/31</f>
        <v>1253.2925612903225</v>
      </c>
      <c r="J235" s="86">
        <f>13154108.1959/31</f>
        <v>424326.0708354839</v>
      </c>
      <c r="K235" s="86">
        <f>19825996.5938/31</f>
        <v>639548.27721935487</v>
      </c>
      <c r="L235" s="86"/>
      <c r="M235" s="86">
        <f>328072.157/31</f>
        <v>10582.972806451613</v>
      </c>
      <c r="N235" s="28">
        <f t="shared" si="11"/>
        <v>1088732.5139290323</v>
      </c>
      <c r="O235" s="95">
        <f t="shared" ref="O235:O244" si="13">+O234</f>
        <v>1179614.0900000001</v>
      </c>
      <c r="P235" s="85">
        <f t="shared" si="12"/>
        <v>-62255.101967396447</v>
      </c>
    </row>
    <row r="236" spans="2:17" x14ac:dyDescent="0.2">
      <c r="B236" s="64">
        <v>2013.3333256000101</v>
      </c>
      <c r="C236" s="48">
        <v>41365</v>
      </c>
      <c r="D236" s="92">
        <f>167384/30</f>
        <v>5579.4666666666662</v>
      </c>
      <c r="E236" s="86">
        <f>8926.17/30</f>
        <v>297.53899999999999</v>
      </c>
      <c r="F236" s="86">
        <f>88861/30</f>
        <v>2962.0333333333333</v>
      </c>
      <c r="G236" s="86">
        <f>182539/30</f>
        <v>6084.6333333333332</v>
      </c>
      <c r="H236" s="86">
        <f>169164.38/30</f>
        <v>5638.8126666666667</v>
      </c>
      <c r="I236" s="86">
        <f>19491.56/30</f>
        <v>649.71866666666676</v>
      </c>
      <c r="J236" s="86">
        <f>13429412.65/30</f>
        <v>447647.08833333332</v>
      </c>
      <c r="K236" s="86">
        <f>19262324.83/30</f>
        <v>642077.49433333322</v>
      </c>
      <c r="L236" s="86"/>
      <c r="M236" s="86">
        <f>284906.56/30</f>
        <v>9496.8853333333336</v>
      </c>
      <c r="N236" s="28">
        <f t="shared" si="11"/>
        <v>1120433.6716666666</v>
      </c>
      <c r="O236" s="95">
        <f t="shared" si="13"/>
        <v>1179614.0900000001</v>
      </c>
      <c r="P236" s="85">
        <f t="shared" si="12"/>
        <v>31701.157737634378</v>
      </c>
    </row>
    <row r="237" spans="2:17" x14ac:dyDescent="0.2">
      <c r="B237" s="64">
        <v>2013.4166589000099</v>
      </c>
      <c r="C237" s="48">
        <v>41395</v>
      </c>
      <c r="D237" s="92">
        <f>205820/31</f>
        <v>6639.3548387096771</v>
      </c>
      <c r="E237" s="86">
        <f>23668.34/31</f>
        <v>763.49483870967742</v>
      </c>
      <c r="F237" s="86">
        <f>100835/31</f>
        <v>3252.7419354838707</v>
      </c>
      <c r="G237" s="86">
        <f>191886/31</f>
        <v>6189.8709677419356</v>
      </c>
      <c r="H237" s="86">
        <f>213580.64/31</f>
        <v>6889.6980645161293</v>
      </c>
      <c r="I237" s="86">
        <f>25800.85/31</f>
        <v>832.28548387096771</v>
      </c>
      <c r="J237" s="86">
        <f>16895426.87/31</f>
        <v>545013.77</v>
      </c>
      <c r="K237" s="86">
        <f>19569249.52/31</f>
        <v>631266.11354838707</v>
      </c>
      <c r="L237" s="86"/>
      <c r="M237" s="86">
        <f>460235.54/31</f>
        <v>14846.307741935483</v>
      </c>
      <c r="N237" s="28">
        <f t="shared" si="11"/>
        <v>1215693.6374193549</v>
      </c>
      <c r="O237" s="95">
        <f t="shared" si="13"/>
        <v>1179614.0900000001</v>
      </c>
      <c r="P237" s="85">
        <f t="shared" si="12"/>
        <v>95259.965752688237</v>
      </c>
    </row>
    <row r="238" spans="2:17" x14ac:dyDescent="0.2">
      <c r="B238" s="64">
        <v>2013.49999220001</v>
      </c>
      <c r="C238" s="48">
        <v>41426</v>
      </c>
      <c r="D238" s="92">
        <f>145646/30</f>
        <v>4854.8666666666668</v>
      </c>
      <c r="E238" s="86">
        <f>26304.47/30</f>
        <v>876.81566666666674</v>
      </c>
      <c r="F238" s="86">
        <f>91635/30</f>
        <v>3054.5</v>
      </c>
      <c r="G238" s="86">
        <f>181503/30</f>
        <v>6050.1</v>
      </c>
      <c r="H238" s="86">
        <f>198980.29/30</f>
        <v>6632.6763333333338</v>
      </c>
      <c r="I238" s="86">
        <f>81589.77/30</f>
        <v>2719.6590000000001</v>
      </c>
      <c r="J238" s="86">
        <f>15854801.01/30</f>
        <v>528493.36699999997</v>
      </c>
      <c r="K238" s="86">
        <f>18841060.41/30</f>
        <v>628035.34699999995</v>
      </c>
      <c r="L238" s="86"/>
      <c r="M238" s="86">
        <f>384458.4/30</f>
        <v>12815.28</v>
      </c>
      <c r="N238" s="28">
        <f t="shared" si="11"/>
        <v>1193532.6116666666</v>
      </c>
      <c r="O238" s="95">
        <f t="shared" si="13"/>
        <v>1179614.0900000001</v>
      </c>
      <c r="P238" s="85">
        <f t="shared" si="12"/>
        <v>-22161.025752688292</v>
      </c>
    </row>
    <row r="239" spans="2:17" x14ac:dyDescent="0.2">
      <c r="B239" s="64">
        <v>2013.58332550001</v>
      </c>
      <c r="C239" s="48">
        <v>41456</v>
      </c>
      <c r="D239" s="92">
        <f>167839/31</f>
        <v>5414.1612903225805</v>
      </c>
      <c r="E239" s="86">
        <f>31895.53/31</f>
        <v>1028.8880645161289</v>
      </c>
      <c r="F239" s="86">
        <f>103538/31</f>
        <v>3339.9354838709678</v>
      </c>
      <c r="G239" s="86">
        <f>262899/31</f>
        <v>8480.6129032258068</v>
      </c>
      <c r="H239" s="86">
        <f>211527.22/31</f>
        <v>6823.4587096774194</v>
      </c>
      <c r="I239" s="86">
        <f>188685.2/31</f>
        <v>6086.61935483871</v>
      </c>
      <c r="J239" s="86">
        <f>16950349.97/31</f>
        <v>546785.48290322581</v>
      </c>
      <c r="K239" s="86">
        <f>16828381.79/31</f>
        <v>542851.025483871</v>
      </c>
      <c r="L239" s="86"/>
      <c r="M239" s="86">
        <f>870279.48/31</f>
        <v>28073.531612903225</v>
      </c>
      <c r="N239" s="28">
        <f t="shared" si="11"/>
        <v>1148883.7158064514</v>
      </c>
      <c r="O239" s="95">
        <f t="shared" si="13"/>
        <v>1179614.0900000001</v>
      </c>
      <c r="P239" s="85">
        <f t="shared" si="12"/>
        <v>-44648.895860215183</v>
      </c>
    </row>
    <row r="240" spans="2:17" x14ac:dyDescent="0.2">
      <c r="B240" s="64">
        <v>2013.6666588000101</v>
      </c>
      <c r="C240" s="48">
        <v>41487</v>
      </c>
      <c r="D240" s="92">
        <f>165938/31</f>
        <v>5352.8387096774195</v>
      </c>
      <c r="E240" s="86">
        <f>40960.62/31</f>
        <v>1321.3103225806453</v>
      </c>
      <c r="F240" s="86">
        <f>102516/31</f>
        <v>3306.9677419354839</v>
      </c>
      <c r="G240" s="86">
        <f>240023/31</f>
        <v>7742.677419354839</v>
      </c>
      <c r="H240" s="86">
        <f>204381.69/31</f>
        <v>6592.9577419354837</v>
      </c>
      <c r="I240" s="86">
        <f>186923.43/31</f>
        <v>6029.7880645161285</v>
      </c>
      <c r="J240" s="86">
        <f>17877312.07/31</f>
        <v>576687.48612903222</v>
      </c>
      <c r="K240" s="86">
        <f>19848336.9/31</f>
        <v>640268.93225806451</v>
      </c>
      <c r="L240" s="86"/>
      <c r="M240" s="86">
        <f>683460/31</f>
        <v>22047.096774193549</v>
      </c>
      <c r="N240" s="28">
        <f t="shared" si="11"/>
        <v>1269350.0551612903</v>
      </c>
      <c r="O240" s="95">
        <f t="shared" si="13"/>
        <v>1179614.0900000001</v>
      </c>
      <c r="P240" s="85">
        <f t="shared" si="12"/>
        <v>120466.33935483894</v>
      </c>
    </row>
    <row r="241" spans="2:16" x14ac:dyDescent="0.2">
      <c r="B241" s="64">
        <v>2013.7499921000101</v>
      </c>
      <c r="C241" s="48">
        <v>41518</v>
      </c>
      <c r="D241" s="92">
        <f>156982/30</f>
        <v>5232.7333333333336</v>
      </c>
      <c r="E241" s="86">
        <f>42253.28/30</f>
        <v>1408.4426666666666</v>
      </c>
      <c r="F241" s="86">
        <f>88713/30</f>
        <v>2957.1</v>
      </c>
      <c r="G241" s="86">
        <f>188808/30</f>
        <v>6293.6</v>
      </c>
      <c r="H241" s="86">
        <f>175490.91/30</f>
        <v>5849.6970000000001</v>
      </c>
      <c r="I241" s="86">
        <f>129807.67/30</f>
        <v>4326.922333333333</v>
      </c>
      <c r="J241" s="86">
        <f>16892875.76/30</f>
        <v>563095.85866666667</v>
      </c>
      <c r="K241" s="86">
        <f>19081290.35/30</f>
        <v>636043.01166666672</v>
      </c>
      <c r="L241" s="86"/>
      <c r="M241" s="86">
        <f>440876.22/30</f>
        <v>14695.874</v>
      </c>
      <c r="N241" s="28">
        <f t="shared" si="11"/>
        <v>1239903.2396666668</v>
      </c>
      <c r="O241" s="95">
        <f t="shared" si="13"/>
        <v>1179614.0900000001</v>
      </c>
      <c r="P241" s="85">
        <f t="shared" si="12"/>
        <v>-29446.815494623501</v>
      </c>
    </row>
    <row r="242" spans="2:16" x14ac:dyDescent="0.2">
      <c r="B242" s="64">
        <v>2013.8333254000099</v>
      </c>
      <c r="C242" s="48">
        <v>41548</v>
      </c>
      <c r="D242" s="92">
        <f>186615/31</f>
        <v>6019.8387096774195</v>
      </c>
      <c r="E242" s="86">
        <f>47245.59/31</f>
        <v>1524.0512903225806</v>
      </c>
      <c r="F242" s="86">
        <f>83463/31</f>
        <v>2692.3548387096776</v>
      </c>
      <c r="G242" s="86">
        <f>188163/31</f>
        <v>6069.7741935483873</v>
      </c>
      <c r="H242" s="86">
        <f>211276.27/31</f>
        <v>6815.3635483870967</v>
      </c>
      <c r="I242" s="86">
        <f>113406.79/31</f>
        <v>3658.2835483870967</v>
      </c>
      <c r="J242" s="86">
        <f>16766875.49/31</f>
        <v>540866.95129032258</v>
      </c>
      <c r="K242" s="86">
        <f>19880435.77/31</f>
        <v>641304.37967741932</v>
      </c>
      <c r="L242" s="86"/>
      <c r="M242" s="86">
        <f>299118.54/31</f>
        <v>9648.9851612903221</v>
      </c>
      <c r="N242" s="28">
        <f t="shared" si="11"/>
        <v>1218599.9822580644</v>
      </c>
      <c r="O242" s="95">
        <f t="shared" si="13"/>
        <v>1179614.0900000001</v>
      </c>
      <c r="P242" s="85">
        <f t="shared" si="12"/>
        <v>-21303.257408602396</v>
      </c>
    </row>
    <row r="243" spans="2:16" x14ac:dyDescent="0.2">
      <c r="B243" s="64">
        <v>2013.91665870001</v>
      </c>
      <c r="C243" s="48">
        <v>41579</v>
      </c>
      <c r="D243" s="92">
        <f>202517/30</f>
        <v>6750.5666666666666</v>
      </c>
      <c r="E243" s="86">
        <f>48502.3/30</f>
        <v>1616.7433333333333</v>
      </c>
      <c r="F243" s="86">
        <f>47484/30</f>
        <v>1582.8</v>
      </c>
      <c r="G243" s="86">
        <f>191452/30</f>
        <v>6381.7333333333336</v>
      </c>
      <c r="H243" s="86">
        <f>195400.33/30</f>
        <v>6513.3443333333325</v>
      </c>
      <c r="I243" s="86">
        <f>193698.59/30</f>
        <v>6456.6196666666665</v>
      </c>
      <c r="J243" s="86">
        <f>16167974.24/30</f>
        <v>538932.47466666671</v>
      </c>
      <c r="K243" s="86">
        <f>19038862.63/30</f>
        <v>634628.75433333335</v>
      </c>
      <c r="L243" s="86"/>
      <c r="M243" s="86">
        <f>342841.09/30</f>
        <v>11428.036333333333</v>
      </c>
      <c r="N243" s="28">
        <f t="shared" si="11"/>
        <v>1214291.0726666665</v>
      </c>
      <c r="O243" s="95">
        <f t="shared" si="13"/>
        <v>1179614.0900000001</v>
      </c>
      <c r="P243" s="85">
        <f t="shared" si="12"/>
        <v>-4308.9095913979691</v>
      </c>
    </row>
    <row r="244" spans="2:16" x14ac:dyDescent="0.2">
      <c r="B244" s="64">
        <v>2013.99999200001</v>
      </c>
      <c r="C244" s="48">
        <v>41609</v>
      </c>
      <c r="D244" s="92">
        <f>207959/31</f>
        <v>6708.3548387096771</v>
      </c>
      <c r="E244" s="86">
        <f>38817.01/31</f>
        <v>1252.1616129032259</v>
      </c>
      <c r="F244" s="86">
        <f>99276/31</f>
        <v>3202.4516129032259</v>
      </c>
      <c r="G244" s="86">
        <f>190557/31</f>
        <v>6147</v>
      </c>
      <c r="H244" s="86">
        <f>204300/31</f>
        <v>6590.322580645161</v>
      </c>
      <c r="I244" s="86">
        <f>141941.74/31</f>
        <v>4578.7658064516127</v>
      </c>
      <c r="J244" s="86">
        <f>15689885.08/31</f>
        <v>506125.3251612903</v>
      </c>
      <c r="K244" s="86">
        <f>19869646.39/31</f>
        <v>640956.33516129036</v>
      </c>
      <c r="L244" s="86"/>
      <c r="M244" s="86">
        <f>351055.238/31</f>
        <v>11324.362516129033</v>
      </c>
      <c r="N244" s="28">
        <f t="shared" si="11"/>
        <v>1186885.0792903225</v>
      </c>
      <c r="O244" s="95">
        <f t="shared" si="13"/>
        <v>1179614.0900000001</v>
      </c>
      <c r="P244" s="85">
        <f t="shared" si="12"/>
        <v>-27405.993376343977</v>
      </c>
    </row>
    <row r="245" spans="2:16" s="102" customFormat="1" x14ac:dyDescent="0.2">
      <c r="B245" s="96">
        <f t="shared" ref="B245:B308" si="14">+B244+0.0833333</f>
        <v>2014.0833253000101</v>
      </c>
      <c r="C245" s="97">
        <v>41640</v>
      </c>
      <c r="D245" s="98">
        <f>195626/31</f>
        <v>6310.5161290322585</v>
      </c>
      <c r="E245" s="98">
        <f>49222.72/31</f>
        <v>1587.8296774193548</v>
      </c>
      <c r="F245" s="98">
        <f>79232/31</f>
        <v>2555.8709677419356</v>
      </c>
      <c r="G245" s="98">
        <f>227860/31</f>
        <v>7350.322580645161</v>
      </c>
      <c r="H245" s="98">
        <f>202640.75/31</f>
        <v>6536.7983870967746</v>
      </c>
      <c r="I245" s="98">
        <f>231205.98/31</f>
        <v>7458.2574193548389</v>
      </c>
      <c r="J245" s="98">
        <f>15548127.74/31</f>
        <v>501552.50774193549</v>
      </c>
      <c r="K245" s="98">
        <f>19692057.51/31</f>
        <v>635227.66161290323</v>
      </c>
      <c r="L245" s="98"/>
      <c r="M245" s="98">
        <f>446716.29/31</f>
        <v>14410.202903225805</v>
      </c>
      <c r="N245" s="99">
        <f t="shared" si="11"/>
        <v>1182989.9674193549</v>
      </c>
      <c r="O245" s="100">
        <f>456406976/365</f>
        <v>1250430.0712328767</v>
      </c>
      <c r="P245" s="101">
        <f t="shared" si="12"/>
        <v>-3895.1118709675502</v>
      </c>
    </row>
    <row r="246" spans="2:16" s="102" customFormat="1" x14ac:dyDescent="0.2">
      <c r="B246" s="96">
        <f t="shared" si="14"/>
        <v>2014.1666586000101</v>
      </c>
      <c r="C246" s="97">
        <v>41671</v>
      </c>
      <c r="D246" s="98">
        <f>154620/28</f>
        <v>5522.1428571428569</v>
      </c>
      <c r="E246" s="98">
        <f>45987/28</f>
        <v>1642.3928571428571</v>
      </c>
      <c r="F246" s="98">
        <f>71843/28</f>
        <v>2565.8214285714284</v>
      </c>
      <c r="G246" s="98">
        <f>224977/28</f>
        <v>8034.8928571428569</v>
      </c>
      <c r="H246" s="98">
        <f>228168.87/28</f>
        <v>8148.8882142857137</v>
      </c>
      <c r="I246" s="98">
        <f>109540.63/28</f>
        <v>3912.1653571428574</v>
      </c>
      <c r="J246" s="98">
        <f>15428348.23/28</f>
        <v>551012.43678571435</v>
      </c>
      <c r="K246" s="98">
        <f>17744628.07/28</f>
        <v>633736.71678571426</v>
      </c>
      <c r="L246" s="98"/>
      <c r="M246" s="98">
        <f>447320.41/28</f>
        <v>15975.728928571427</v>
      </c>
      <c r="N246" s="99">
        <f t="shared" si="11"/>
        <v>1230551.1860714285</v>
      </c>
      <c r="O246" s="100">
        <f>+O245</f>
        <v>1250430.0712328767</v>
      </c>
      <c r="P246" s="101">
        <f t="shared" si="12"/>
        <v>47561.218652073527</v>
      </c>
    </row>
    <row r="247" spans="2:16" s="102" customFormat="1" x14ac:dyDescent="0.2">
      <c r="B247" s="96">
        <f t="shared" si="14"/>
        <v>2014.2499919000102</v>
      </c>
      <c r="C247" s="103">
        <v>41699</v>
      </c>
      <c r="D247" s="98">
        <f>202518/31</f>
        <v>6532.8387096774195</v>
      </c>
      <c r="E247" s="98">
        <f>50211.09/31</f>
        <v>1619.7125806451611</v>
      </c>
      <c r="F247" s="98">
        <f>73696/31</f>
        <v>2377.2903225806454</v>
      </c>
      <c r="G247" s="98">
        <f>252775/31</f>
        <v>8154.0322580645161</v>
      </c>
      <c r="H247" s="98">
        <f>308087.1/31</f>
        <v>9938.2935483870951</v>
      </c>
      <c r="I247" s="98">
        <f>162975.25/31</f>
        <v>5257.2661290322585</v>
      </c>
      <c r="J247" s="98">
        <f>19057628.03/31</f>
        <v>614762.19451612909</v>
      </c>
      <c r="K247" s="98">
        <f>19105776.42/31</f>
        <v>616315.36838709679</v>
      </c>
      <c r="L247" s="98">
        <f>536741/31</f>
        <v>17314.225806451614</v>
      </c>
      <c r="M247" s="98">
        <f>499922.1/31</f>
        <v>16126.519354838709</v>
      </c>
      <c r="N247" s="99">
        <f t="shared" si="11"/>
        <v>1298397.7416129033</v>
      </c>
      <c r="O247" s="100">
        <f>+O246</f>
        <v>1250430.0712328767</v>
      </c>
      <c r="P247" s="101">
        <f t="shared" si="12"/>
        <v>67846.555541474838</v>
      </c>
    </row>
    <row r="248" spans="2:16" s="102" customFormat="1" x14ac:dyDescent="0.2">
      <c r="B248" s="96">
        <f t="shared" si="14"/>
        <v>2014.3333252000102</v>
      </c>
      <c r="C248" s="103">
        <v>41730</v>
      </c>
      <c r="D248" s="98">
        <f>200359/30</f>
        <v>6678.6333333333332</v>
      </c>
      <c r="E248" s="98">
        <f>45862.88/30</f>
        <v>1528.7626666666665</v>
      </c>
      <c r="F248" s="98">
        <f>63882/30</f>
        <v>2129.4</v>
      </c>
      <c r="G248" s="98">
        <f>243059/30</f>
        <v>8101.9666666666662</v>
      </c>
      <c r="H248" s="98">
        <f>328565.98/30</f>
        <v>10952.199333333332</v>
      </c>
      <c r="I248" s="98">
        <f>123131.03/30</f>
        <v>4104.367666666667</v>
      </c>
      <c r="J248" s="98">
        <f>17178563.07/30</f>
        <v>572618.76899999997</v>
      </c>
      <c r="K248" s="98">
        <f>16479688.95/30</f>
        <v>549322.96499999997</v>
      </c>
      <c r="L248" s="98">
        <f>2730115.72/30</f>
        <v>91003.857333333333</v>
      </c>
      <c r="M248" s="98">
        <f>309412.55/30</f>
        <v>10313.751666666667</v>
      </c>
      <c r="N248" s="98">
        <f t="shared" si="11"/>
        <v>1256754.6726666666</v>
      </c>
      <c r="O248" s="100">
        <f t="shared" ref="O248:O256" si="15">+O247</f>
        <v>1250430.0712328767</v>
      </c>
      <c r="P248" s="101">
        <f t="shared" si="12"/>
        <v>-41643.068946236745</v>
      </c>
    </row>
    <row r="249" spans="2:16" s="102" customFormat="1" x14ac:dyDescent="0.2">
      <c r="B249" s="96">
        <f t="shared" si="14"/>
        <v>2014.4166585000103</v>
      </c>
      <c r="C249" s="103">
        <v>41760</v>
      </c>
      <c r="D249" s="98">
        <f>222570/31</f>
        <v>7179.677419354839</v>
      </c>
      <c r="E249" s="98">
        <f>47350.37/31</f>
        <v>1527.4312903225807</v>
      </c>
      <c r="F249" s="98">
        <f>93995/31</f>
        <v>3032.0967741935483</v>
      </c>
      <c r="G249" s="98">
        <f>250174/31</f>
        <v>8070.1290322580644</v>
      </c>
      <c r="H249" s="98">
        <f>169798.06/31</f>
        <v>5477.3567741935485</v>
      </c>
      <c r="I249" s="98">
        <f>102347.27/31</f>
        <v>3301.5248387096776</v>
      </c>
      <c r="J249" s="98">
        <f>17313058.26/31</f>
        <v>558485.75032258069</v>
      </c>
      <c r="K249" s="98">
        <f>15228620.02/31</f>
        <v>491245.80709677417</v>
      </c>
      <c r="L249" s="98">
        <f>2568790.23/31</f>
        <v>82864.200967741941</v>
      </c>
      <c r="M249" s="98">
        <f>401374.83/31</f>
        <v>12947.575161290322</v>
      </c>
      <c r="N249" s="98">
        <f t="shared" si="11"/>
        <v>1174131.5496774195</v>
      </c>
      <c r="O249" s="100">
        <f t="shared" si="15"/>
        <v>1250430.0712328767</v>
      </c>
      <c r="P249" s="101">
        <f t="shared" si="12"/>
        <v>-82623.122989247087</v>
      </c>
    </row>
    <row r="250" spans="2:16" s="102" customFormat="1" x14ac:dyDescent="0.2">
      <c r="B250" s="96">
        <f t="shared" si="14"/>
        <v>2014.4999918000103</v>
      </c>
      <c r="C250" s="103">
        <v>41791</v>
      </c>
      <c r="D250" s="98">
        <v>7822</v>
      </c>
      <c r="E250" s="98">
        <v>1537</v>
      </c>
      <c r="F250" s="98">
        <v>3047</v>
      </c>
      <c r="G250" s="98">
        <v>8328</v>
      </c>
      <c r="H250" s="98">
        <v>5696</v>
      </c>
      <c r="I250" s="98">
        <v>2739</v>
      </c>
      <c r="J250" s="98">
        <v>652618</v>
      </c>
      <c r="K250" s="98">
        <v>359412</v>
      </c>
      <c r="L250" s="98">
        <v>54403</v>
      </c>
      <c r="M250" s="98">
        <v>17603</v>
      </c>
      <c r="N250" s="98">
        <f t="shared" si="11"/>
        <v>1113205</v>
      </c>
      <c r="O250" s="100">
        <f t="shared" si="15"/>
        <v>1250430.0712328767</v>
      </c>
      <c r="P250" s="101">
        <f t="shared" si="12"/>
        <v>-60926.549677419476</v>
      </c>
    </row>
    <row r="251" spans="2:16" s="102" customFormat="1" x14ac:dyDescent="0.2">
      <c r="B251" s="96">
        <f t="shared" si="14"/>
        <v>2014.5833251000104</v>
      </c>
      <c r="C251" s="103">
        <v>41821</v>
      </c>
      <c r="D251" s="98">
        <v>8559.032258064517</v>
      </c>
      <c r="E251" s="98">
        <v>1696.258064516129</v>
      </c>
      <c r="F251" s="98">
        <v>3165.2903225806454</v>
      </c>
      <c r="G251" s="98">
        <v>14380.516129032258</v>
      </c>
      <c r="H251" s="98">
        <v>6107.6129032258068</v>
      </c>
      <c r="I251" s="98">
        <v>8119.2903225806449</v>
      </c>
      <c r="J251" s="98">
        <v>644686.06451612909</v>
      </c>
      <c r="K251" s="98">
        <v>463227.25806451612</v>
      </c>
      <c r="L251" s="98">
        <v>115827.96774193548</v>
      </c>
      <c r="M251" s="98">
        <v>13196.096774193549</v>
      </c>
      <c r="N251" s="98">
        <f t="shared" ref="N251:N262" si="16">+SUM(D251:M251)</f>
        <v>1278965.3870967743</v>
      </c>
      <c r="O251" s="100">
        <f>+O250</f>
        <v>1250430.0712328767</v>
      </c>
      <c r="P251" s="101">
        <f t="shared" si="12"/>
        <v>165760.3870967743</v>
      </c>
    </row>
    <row r="252" spans="2:16" s="102" customFormat="1" x14ac:dyDescent="0.2">
      <c r="B252" s="96">
        <f t="shared" si="14"/>
        <v>2014.6666584000104</v>
      </c>
      <c r="C252" s="103">
        <v>41852</v>
      </c>
      <c r="D252" s="98">
        <v>9955.8709999999992</v>
      </c>
      <c r="E252" s="98">
        <v>1956.4003</v>
      </c>
      <c r="F252" s="98">
        <v>3600.9677000000001</v>
      </c>
      <c r="G252" s="98">
        <v>14832.258099999999</v>
      </c>
      <c r="H252" s="98">
        <v>6366.9484000000002</v>
      </c>
      <c r="I252" s="98">
        <v>8077.0697</v>
      </c>
      <c r="J252" s="98">
        <v>673810.75210000004</v>
      </c>
      <c r="K252" s="98">
        <v>481010.33169999998</v>
      </c>
      <c r="L252" s="98">
        <v>37537.194199999998</v>
      </c>
      <c r="M252" s="98">
        <v>15275.5087</v>
      </c>
      <c r="N252" s="98">
        <f t="shared" si="16"/>
        <v>1252423.3018999998</v>
      </c>
      <c r="O252" s="100">
        <f t="shared" si="15"/>
        <v>1250430.0712328767</v>
      </c>
      <c r="P252" s="101">
        <f t="shared" si="12"/>
        <v>-26542.085196774453</v>
      </c>
    </row>
    <row r="253" spans="2:16" s="102" customFormat="1" x14ac:dyDescent="0.2">
      <c r="B253" s="96">
        <f t="shared" si="14"/>
        <v>2014.7499917000105</v>
      </c>
      <c r="C253" s="103">
        <v>41883</v>
      </c>
      <c r="D253" s="98">
        <v>8670</v>
      </c>
      <c r="E253" s="98">
        <v>1953</v>
      </c>
      <c r="F253" s="98">
        <v>2528</v>
      </c>
      <c r="G253" s="98">
        <v>13931</v>
      </c>
      <c r="H253" s="98">
        <v>5243</v>
      </c>
      <c r="I253" s="98">
        <v>7011</v>
      </c>
      <c r="J253" s="98">
        <v>653547</v>
      </c>
      <c r="K253" s="98">
        <v>450413</v>
      </c>
      <c r="L253" s="98">
        <v>62534</v>
      </c>
      <c r="M253" s="98">
        <v>15786</v>
      </c>
      <c r="N253" s="98">
        <f t="shared" si="16"/>
        <v>1221616</v>
      </c>
      <c r="O253" s="100">
        <f t="shared" si="15"/>
        <v>1250430.0712328767</v>
      </c>
      <c r="P253" s="101">
        <f t="shared" si="12"/>
        <v>-30807.301899999846</v>
      </c>
    </row>
    <row r="254" spans="2:16" s="102" customFormat="1" x14ac:dyDescent="0.2">
      <c r="B254" s="96">
        <f t="shared" si="14"/>
        <v>2014.8333250000105</v>
      </c>
      <c r="C254" s="103">
        <v>41913</v>
      </c>
      <c r="D254" s="98">
        <v>9852</v>
      </c>
      <c r="E254" s="98">
        <v>1947</v>
      </c>
      <c r="F254" s="98">
        <v>2624</v>
      </c>
      <c r="G254" s="98">
        <v>14631</v>
      </c>
      <c r="H254" s="98">
        <v>6765</v>
      </c>
      <c r="I254" s="98">
        <v>6407</v>
      </c>
      <c r="J254" s="98">
        <v>665252</v>
      </c>
      <c r="K254" s="98">
        <v>528917</v>
      </c>
      <c r="L254" s="98">
        <v>93740</v>
      </c>
      <c r="M254" s="98">
        <v>13543</v>
      </c>
      <c r="N254" s="98">
        <f t="shared" si="16"/>
        <v>1343678</v>
      </c>
      <c r="O254" s="100">
        <f t="shared" si="15"/>
        <v>1250430.0712328767</v>
      </c>
      <c r="P254" s="101">
        <f t="shared" si="12"/>
        <v>122062</v>
      </c>
    </row>
    <row r="255" spans="2:16" s="102" customFormat="1" x14ac:dyDescent="0.2">
      <c r="B255" s="96">
        <f t="shared" si="14"/>
        <v>2014.9166583000106</v>
      </c>
      <c r="C255" s="103">
        <v>41944</v>
      </c>
      <c r="D255" s="98">
        <v>9519</v>
      </c>
      <c r="E255" s="98">
        <v>2095</v>
      </c>
      <c r="F255" s="98">
        <v>2897</v>
      </c>
      <c r="G255" s="98">
        <v>14001</v>
      </c>
      <c r="H255" s="98">
        <v>8317</v>
      </c>
      <c r="I255" s="98">
        <v>6555</v>
      </c>
      <c r="J255" s="98">
        <v>663555</v>
      </c>
      <c r="K255" s="98">
        <v>529404</v>
      </c>
      <c r="L255" s="98">
        <v>92969</v>
      </c>
      <c r="M255" s="98">
        <v>15573</v>
      </c>
      <c r="N255" s="98">
        <f t="shared" si="16"/>
        <v>1344885</v>
      </c>
      <c r="O255" s="100">
        <f t="shared" si="15"/>
        <v>1250430.0712328767</v>
      </c>
      <c r="P255" s="101">
        <f t="shared" si="12"/>
        <v>1207</v>
      </c>
    </row>
    <row r="256" spans="2:16" s="102" customFormat="1" x14ac:dyDescent="0.2">
      <c r="B256" s="96">
        <f t="shared" si="14"/>
        <v>2014.9999916000106</v>
      </c>
      <c r="C256" s="143">
        <v>41974</v>
      </c>
      <c r="D256" s="144">
        <v>9270.322580645161</v>
      </c>
      <c r="E256" s="144">
        <v>2039.8387096774193</v>
      </c>
      <c r="F256" s="144">
        <v>3252.8387096774195</v>
      </c>
      <c r="G256" s="144">
        <v>13819.612903225807</v>
      </c>
      <c r="H256" s="144">
        <v>8629.1612903225814</v>
      </c>
      <c r="I256" s="144">
        <v>5569.0322580645161</v>
      </c>
      <c r="J256" s="144">
        <v>624992.16129032255</v>
      </c>
      <c r="K256" s="144">
        <v>531433.77419354836</v>
      </c>
      <c r="L256" s="144">
        <v>90899.580645161288</v>
      </c>
      <c r="M256" s="144">
        <v>13627.129032258064</v>
      </c>
      <c r="N256" s="144">
        <f t="shared" si="16"/>
        <v>1303533.451612903</v>
      </c>
      <c r="O256" s="100">
        <f t="shared" si="15"/>
        <v>1250430.0712328767</v>
      </c>
      <c r="P256" s="101">
        <f t="shared" si="12"/>
        <v>-41351.548387096962</v>
      </c>
    </row>
    <row r="257" spans="1:16" s="151" customFormat="1" x14ac:dyDescent="0.2">
      <c r="B257" s="147">
        <f t="shared" si="14"/>
        <v>2015.0833249000107</v>
      </c>
      <c r="C257" s="148">
        <v>42005</v>
      </c>
      <c r="D257" s="149">
        <v>9462.2258064516136</v>
      </c>
      <c r="E257" s="149">
        <v>1957.6774193548388</v>
      </c>
      <c r="F257" s="149">
        <v>3274.4193548387098</v>
      </c>
      <c r="G257" s="149">
        <v>13584.322580645161</v>
      </c>
      <c r="H257" s="149">
        <v>10849.225806451614</v>
      </c>
      <c r="I257" s="149">
        <v>5607.9354838709678</v>
      </c>
      <c r="J257" s="149">
        <v>543248</v>
      </c>
      <c r="K257" s="149">
        <v>545663.48387096776</v>
      </c>
      <c r="L257" s="149">
        <v>86943.870967741939</v>
      </c>
      <c r="M257" s="149">
        <v>12718.741935483871</v>
      </c>
      <c r="N257" s="149">
        <f>+SUM(D257:M257)</f>
        <v>1233309.9032258063</v>
      </c>
      <c r="O257" s="149">
        <v>1294666.0900999999</v>
      </c>
      <c r="P257" s="150">
        <f>N257-N256</f>
        <v>-70223.548387096729</v>
      </c>
    </row>
    <row r="258" spans="1:16" s="151" customFormat="1" x14ac:dyDescent="0.2">
      <c r="B258" s="147">
        <f t="shared" si="14"/>
        <v>2015.1666582000107</v>
      </c>
      <c r="C258" s="148">
        <v>42036</v>
      </c>
      <c r="D258" s="149">
        <v>8833.7857142857138</v>
      </c>
      <c r="E258" s="149">
        <v>2034.2142857142858</v>
      </c>
      <c r="F258" s="149">
        <v>2929.1428571428573</v>
      </c>
      <c r="G258" s="149">
        <v>11407.857142857143</v>
      </c>
      <c r="H258" s="149">
        <v>10935.678571428571</v>
      </c>
      <c r="I258" s="149">
        <v>4576.3214285714284</v>
      </c>
      <c r="J258" s="149">
        <v>583878.07142857148</v>
      </c>
      <c r="K258" s="149">
        <v>513581.32142857142</v>
      </c>
      <c r="L258" s="149">
        <v>83334.071428571435</v>
      </c>
      <c r="M258" s="149">
        <v>14223.285714285714</v>
      </c>
      <c r="N258" s="149">
        <f t="shared" si="16"/>
        <v>1235733.75</v>
      </c>
      <c r="O258" s="149">
        <f>+O257</f>
        <v>1294666.0900999999</v>
      </c>
      <c r="P258" s="150">
        <f t="shared" si="12"/>
        <v>2423.8467741936911</v>
      </c>
    </row>
    <row r="259" spans="1:16" s="151" customFormat="1" x14ac:dyDescent="0.2">
      <c r="B259" s="147">
        <f t="shared" si="14"/>
        <v>2015.2499915000108</v>
      </c>
      <c r="C259" s="148">
        <v>42064</v>
      </c>
      <c r="D259" s="149">
        <v>8982.967741935483</v>
      </c>
      <c r="E259" s="149">
        <v>1885.3870967741937</v>
      </c>
      <c r="F259" s="149">
        <v>3178.7741935483873</v>
      </c>
      <c r="G259" s="149">
        <v>13973.225806451614</v>
      </c>
      <c r="H259" s="149">
        <v>9418.9032258064508</v>
      </c>
      <c r="I259" s="149">
        <v>5308.3870967741932</v>
      </c>
      <c r="J259" s="149">
        <v>648717.80645161285</v>
      </c>
      <c r="K259" s="149">
        <v>459847.67741935485</v>
      </c>
      <c r="L259" s="149">
        <v>85955.193548387091</v>
      </c>
      <c r="M259" s="149">
        <v>14836.258064516129</v>
      </c>
      <c r="N259" s="149">
        <f t="shared" si="16"/>
        <v>1252104.5806451612</v>
      </c>
      <c r="O259" s="149">
        <f t="shared" ref="O259:O268" si="17">+O258</f>
        <v>1294666.0900999999</v>
      </c>
      <c r="P259" s="150">
        <f t="shared" si="12"/>
        <v>16370.830645161215</v>
      </c>
    </row>
    <row r="260" spans="1:16" s="151" customFormat="1" x14ac:dyDescent="0.2">
      <c r="B260" s="147">
        <f t="shared" si="14"/>
        <v>2015.3333248000108</v>
      </c>
      <c r="C260" s="148">
        <v>42095</v>
      </c>
      <c r="D260" s="149">
        <v>9274.7999999999993</v>
      </c>
      <c r="E260" s="149">
        <v>1581.2741766666666</v>
      </c>
      <c r="F260" s="149">
        <v>3099.2333333333331</v>
      </c>
      <c r="G260" s="149">
        <v>12211.233333333334</v>
      </c>
      <c r="H260" s="149">
        <v>10802.862433333334</v>
      </c>
      <c r="I260" s="149">
        <v>5125.704216666667</v>
      </c>
      <c r="J260" s="149">
        <v>594017.90183333331</v>
      </c>
      <c r="K260" s="149">
        <v>439317.15340999997</v>
      </c>
      <c r="L260" s="149">
        <v>63488.032713333334</v>
      </c>
      <c r="M260" s="149">
        <v>14572.772999999999</v>
      </c>
      <c r="N260" s="149">
        <f t="shared" si="16"/>
        <v>1153490.96845</v>
      </c>
      <c r="O260" s="149">
        <f t="shared" si="17"/>
        <v>1294666.0900999999</v>
      </c>
      <c r="P260" s="150">
        <f t="shared" ref="P260:P265" si="18">N260-N259</f>
        <v>-98613.612195161171</v>
      </c>
    </row>
    <row r="261" spans="1:16" s="151" customFormat="1" x14ac:dyDescent="0.2">
      <c r="B261" s="147">
        <f t="shared" si="14"/>
        <v>2015.4166581000109</v>
      </c>
      <c r="C261" s="148">
        <v>42125</v>
      </c>
      <c r="D261" s="149">
        <v>9211.9354838709678</v>
      </c>
      <c r="E261" s="149">
        <v>1727.0645161290322</v>
      </c>
      <c r="F261" s="149">
        <v>3129.7096774193546</v>
      </c>
      <c r="G261" s="149">
        <v>12690.193548387097</v>
      </c>
      <c r="H261" s="149">
        <v>8367.2258064516136</v>
      </c>
      <c r="I261" s="149">
        <v>7057.9677419354839</v>
      </c>
      <c r="J261" s="149">
        <v>616913.09677419357</v>
      </c>
      <c r="K261" s="149">
        <v>292298.3548387097</v>
      </c>
      <c r="L261" s="149">
        <v>57255.806451612902</v>
      </c>
      <c r="M261" s="149">
        <v>16405.612903225807</v>
      </c>
      <c r="N261" s="149">
        <f t="shared" si="16"/>
        <v>1025056.9677419355</v>
      </c>
      <c r="O261" s="149">
        <f t="shared" si="17"/>
        <v>1294666.0900999999</v>
      </c>
      <c r="P261" s="150">
        <f t="shared" si="18"/>
        <v>-128434.00070806453</v>
      </c>
    </row>
    <row r="262" spans="1:16" s="151" customFormat="1" x14ac:dyDescent="0.2">
      <c r="B262" s="147">
        <f t="shared" si="14"/>
        <v>2015.4999914000109</v>
      </c>
      <c r="C262" s="148">
        <v>42156</v>
      </c>
      <c r="D262" s="149">
        <v>9021.7333333333336</v>
      </c>
      <c r="E262" s="149">
        <v>2145.1999999999998</v>
      </c>
      <c r="F262" s="149">
        <v>3132.7333333333331</v>
      </c>
      <c r="G262" s="149">
        <v>14032.866666666667</v>
      </c>
      <c r="H262" s="149">
        <v>11017.8</v>
      </c>
      <c r="I262" s="149">
        <v>7550.0666666666666</v>
      </c>
      <c r="J262" s="149">
        <v>709752.16666666663</v>
      </c>
      <c r="K262" s="149">
        <v>493899.83333333331</v>
      </c>
      <c r="L262" s="149">
        <v>87204.46666666666</v>
      </c>
      <c r="M262" s="149">
        <v>13853.066666666668</v>
      </c>
      <c r="N262" s="149">
        <f t="shared" si="16"/>
        <v>1351609.9333333331</v>
      </c>
      <c r="O262" s="149">
        <f t="shared" si="17"/>
        <v>1294666.0900999999</v>
      </c>
      <c r="P262" s="150">
        <f t="shared" si="18"/>
        <v>326552.9655913976</v>
      </c>
    </row>
    <row r="263" spans="1:16" s="151" customFormat="1" x14ac:dyDescent="0.2">
      <c r="B263" s="147">
        <f t="shared" si="14"/>
        <v>2015.583324700011</v>
      </c>
      <c r="C263" s="148">
        <v>42186</v>
      </c>
      <c r="D263" s="149">
        <v>8545.8709677419356</v>
      </c>
      <c r="E263" s="149">
        <v>2170.0645161290322</v>
      </c>
      <c r="F263" s="149">
        <v>3139.2580645161293</v>
      </c>
      <c r="G263" s="149">
        <v>11242.516129032258</v>
      </c>
      <c r="H263" s="149">
        <v>10996.161290322581</v>
      </c>
      <c r="I263" s="149">
        <v>6095.322580645161</v>
      </c>
      <c r="J263" s="149">
        <v>690871.58064516133</v>
      </c>
      <c r="K263" s="149">
        <v>413778.67741935485</v>
      </c>
      <c r="L263" s="149">
        <v>66311</v>
      </c>
      <c r="M263" s="149">
        <v>11851</v>
      </c>
      <c r="N263" s="149">
        <f t="shared" ref="N263:N268" si="19">+SUM(D263:M263)</f>
        <v>1225001.4516129033</v>
      </c>
      <c r="O263" s="149">
        <f t="shared" si="17"/>
        <v>1294666.0900999999</v>
      </c>
      <c r="P263" s="150">
        <f t="shared" si="18"/>
        <v>-126608.48172042985</v>
      </c>
    </row>
    <row r="264" spans="1:16" s="151" customFormat="1" x14ac:dyDescent="0.2">
      <c r="B264" s="147">
        <f t="shared" si="14"/>
        <v>2015.666658000011</v>
      </c>
      <c r="C264" s="148">
        <v>42217</v>
      </c>
      <c r="D264" s="149">
        <v>9719.967741935483</v>
      </c>
      <c r="E264" s="149">
        <v>2248.9354838709678</v>
      </c>
      <c r="F264" s="149">
        <v>2970.483870967742</v>
      </c>
      <c r="G264" s="149">
        <v>14873</v>
      </c>
      <c r="H264" s="149">
        <v>10305.161290322581</v>
      </c>
      <c r="I264" s="149">
        <v>7934.4193548387093</v>
      </c>
      <c r="J264" s="149">
        <v>690308.41935483867</v>
      </c>
      <c r="K264" s="149">
        <v>114776.03225806452</v>
      </c>
      <c r="L264" s="149">
        <v>36666.870967741932</v>
      </c>
      <c r="M264" s="149">
        <v>27430.451612903227</v>
      </c>
      <c r="N264" s="149">
        <f t="shared" si="19"/>
        <v>917233.74193548388</v>
      </c>
      <c r="O264" s="149">
        <f t="shared" si="17"/>
        <v>1294666.0900999999</v>
      </c>
      <c r="P264" s="150">
        <f t="shared" si="18"/>
        <v>-307767.70967741939</v>
      </c>
    </row>
    <row r="265" spans="1:16" s="151" customFormat="1" x14ac:dyDescent="0.2">
      <c r="B265" s="147">
        <f t="shared" si="14"/>
        <v>2015.7499913000111</v>
      </c>
      <c r="C265" s="148">
        <v>42248</v>
      </c>
      <c r="D265" s="149">
        <v>10156.733333333334</v>
      </c>
      <c r="E265" s="149">
        <v>2365.1999999999998</v>
      </c>
      <c r="F265" s="149">
        <v>3094.5</v>
      </c>
      <c r="G265" s="149">
        <v>14264.2</v>
      </c>
      <c r="H265" s="149">
        <v>11655.030666666666</v>
      </c>
      <c r="I265" s="149">
        <v>6397.4619999999995</v>
      </c>
      <c r="J265" s="149">
        <v>660422.72666666668</v>
      </c>
      <c r="K265" s="149">
        <v>297993.391</v>
      </c>
      <c r="L265" s="149">
        <v>39825.037000000004</v>
      </c>
      <c r="M265" s="149">
        <v>20323.587</v>
      </c>
      <c r="N265" s="149">
        <f t="shared" si="19"/>
        <v>1066497.8676666669</v>
      </c>
      <c r="O265" s="149">
        <f t="shared" si="17"/>
        <v>1294666.0900999999</v>
      </c>
      <c r="P265" s="150">
        <f t="shared" si="18"/>
        <v>149264.12573118298</v>
      </c>
    </row>
    <row r="266" spans="1:16" s="151" customFormat="1" x14ac:dyDescent="0.2">
      <c r="B266" s="147">
        <f t="shared" si="14"/>
        <v>2015.8333246000111</v>
      </c>
      <c r="C266" s="148">
        <v>42278</v>
      </c>
      <c r="D266" s="149">
        <v>10230.096774193549</v>
      </c>
      <c r="E266" s="149">
        <v>2386.1280645161291</v>
      </c>
      <c r="F266" s="149">
        <v>3089.5806451612902</v>
      </c>
      <c r="G266" s="149">
        <v>13961.483870967742</v>
      </c>
      <c r="H266" s="149">
        <v>11280.827096774194</v>
      </c>
      <c r="I266" s="149">
        <v>5881.800645161291</v>
      </c>
      <c r="J266" s="149">
        <v>724629.96709677426</v>
      </c>
      <c r="K266" s="149">
        <v>495241.04870967742</v>
      </c>
      <c r="L266" s="149">
        <v>85658.413225806449</v>
      </c>
      <c r="M266" s="149">
        <v>19667.453548387097</v>
      </c>
      <c r="N266" s="149">
        <f t="shared" si="19"/>
        <v>1372026.7996774197</v>
      </c>
      <c r="O266" s="149">
        <f t="shared" si="17"/>
        <v>1294666.0900999999</v>
      </c>
      <c r="P266" s="150">
        <f>N266-N265</f>
        <v>305528.93201075285</v>
      </c>
    </row>
    <row r="267" spans="1:16" s="151" customFormat="1" x14ac:dyDescent="0.2">
      <c r="B267" s="147">
        <f t="shared" si="14"/>
        <v>2015.9166579000112</v>
      </c>
      <c r="C267" s="148">
        <v>42309</v>
      </c>
      <c r="D267" s="149">
        <v>10183.833333333334</v>
      </c>
      <c r="E267" s="149">
        <v>2416.2333333333331</v>
      </c>
      <c r="F267" s="149">
        <v>2855.1</v>
      </c>
      <c r="G267" s="149">
        <v>13881.633333333333</v>
      </c>
      <c r="H267" s="149">
        <v>12016.9</v>
      </c>
      <c r="I267" s="149">
        <v>6130.5666666666666</v>
      </c>
      <c r="J267" s="149">
        <v>703397.93333333335</v>
      </c>
      <c r="K267" s="149">
        <v>491247.8</v>
      </c>
      <c r="L267" s="149">
        <v>94854.566666666666</v>
      </c>
      <c r="M267" s="149">
        <v>16332.566666666668</v>
      </c>
      <c r="N267" s="149">
        <f t="shared" si="19"/>
        <v>1353317.1333333333</v>
      </c>
      <c r="O267" s="149">
        <f t="shared" si="17"/>
        <v>1294666.0900999999</v>
      </c>
      <c r="P267" s="150">
        <f>N267-N266</f>
        <v>-18709.666344086407</v>
      </c>
    </row>
    <row r="268" spans="1:16" s="151" customFormat="1" x14ac:dyDescent="0.2">
      <c r="B268" s="147">
        <f t="shared" si="14"/>
        <v>2015.9999912000112</v>
      </c>
      <c r="C268" s="155">
        <v>42339</v>
      </c>
      <c r="D268" s="156">
        <v>10131.967741935483</v>
      </c>
      <c r="E268" s="156">
        <v>2217.6129032258063</v>
      </c>
      <c r="F268" s="156">
        <v>3148.7419354838707</v>
      </c>
      <c r="G268" s="156">
        <v>12455.548387096775</v>
      </c>
      <c r="H268" s="156">
        <v>10061.935483870968</v>
      </c>
      <c r="I268" s="156">
        <v>7175.3870967741932</v>
      </c>
      <c r="J268" s="156">
        <v>658062.03225806449</v>
      </c>
      <c r="K268" s="156">
        <v>529471.93548387091</v>
      </c>
      <c r="L268" s="156">
        <v>74477.419354838712</v>
      </c>
      <c r="M268" s="156">
        <v>19378.290322580644</v>
      </c>
      <c r="N268" s="156">
        <f t="shared" si="19"/>
        <v>1326580.8709677418</v>
      </c>
      <c r="O268" s="156">
        <f t="shared" si="17"/>
        <v>1294666.0900999999</v>
      </c>
      <c r="P268" s="157">
        <f>N268-N267</f>
        <v>-26736.262365591479</v>
      </c>
    </row>
    <row r="269" spans="1:16" x14ac:dyDescent="0.2">
      <c r="A269" s="151"/>
      <c r="B269" s="147">
        <f t="shared" si="14"/>
        <v>2016.0833245000113</v>
      </c>
      <c r="C269" s="183">
        <v>42370</v>
      </c>
      <c r="D269" s="158">
        <v>8343.032258064517</v>
      </c>
      <c r="E269" s="158">
        <v>2070.0967741935483</v>
      </c>
      <c r="F269" s="158">
        <v>3098</v>
      </c>
      <c r="G269" s="158">
        <v>11397.064516129032</v>
      </c>
      <c r="H269" s="158">
        <v>10120.903225806451</v>
      </c>
      <c r="I269" s="158">
        <v>7483.4193548387093</v>
      </c>
      <c r="J269" s="158">
        <v>559286.12903225806</v>
      </c>
      <c r="K269" s="158">
        <v>303206.38709677418</v>
      </c>
      <c r="L269" s="158">
        <v>63920.258064516129</v>
      </c>
      <c r="M269" s="158">
        <v>29750.032258064515</v>
      </c>
      <c r="N269" s="158">
        <f t="shared" ref="N269:N278" si="20">+SUM(D269:M269)</f>
        <v>998675.32258064509</v>
      </c>
      <c r="O269" s="184">
        <v>1350904.1949</v>
      </c>
      <c r="P269" s="158">
        <f>N269-N268</f>
        <v>-327905.54838709673</v>
      </c>
    </row>
    <row r="270" spans="1:16" s="5" customFormat="1" ht="13.5" customHeight="1" x14ac:dyDescent="0.2">
      <c r="A270" s="151"/>
      <c r="B270" s="147">
        <f t="shared" si="14"/>
        <v>2016.1666578000113</v>
      </c>
      <c r="C270" s="183">
        <v>42401</v>
      </c>
      <c r="D270" s="158">
        <v>8595.689655172413</v>
      </c>
      <c r="E270" s="158">
        <v>1920.4317137931034</v>
      </c>
      <c r="F270" s="158">
        <v>3109.4482758620688</v>
      </c>
      <c r="G270" s="158">
        <v>13098.068965517241</v>
      </c>
      <c r="H270" s="158">
        <v>8577.0051310344825</v>
      </c>
      <c r="I270" s="158">
        <v>7077.8932999999997</v>
      </c>
      <c r="J270" s="158">
        <v>652481.16996551724</v>
      </c>
      <c r="K270" s="158">
        <v>317178.39746206894</v>
      </c>
      <c r="L270" s="158">
        <v>32485.054548275861</v>
      </c>
      <c r="M270" s="158">
        <v>18702.80979310345</v>
      </c>
      <c r="N270" s="158">
        <f t="shared" si="20"/>
        <v>1063225.9688103448</v>
      </c>
      <c r="O270" s="181">
        <f>+O269</f>
        <v>1350904.1949</v>
      </c>
      <c r="P270" s="158">
        <f t="shared" ref="P270:P278" si="21">N270-N269</f>
        <v>64550.64622969972</v>
      </c>
    </row>
    <row r="271" spans="1:16" s="5" customFormat="1" x14ac:dyDescent="0.2">
      <c r="A271" s="151"/>
      <c r="B271" s="147">
        <f t="shared" si="14"/>
        <v>2016.2499911000114</v>
      </c>
      <c r="C271" s="183">
        <v>42430</v>
      </c>
      <c r="D271" s="158">
        <v>8281.8064516129034</v>
      </c>
      <c r="E271" s="158">
        <v>1988.3555387096774</v>
      </c>
      <c r="F271" s="158">
        <v>3155.6129032258063</v>
      </c>
      <c r="G271" s="158">
        <v>13441.677419354839</v>
      </c>
      <c r="H271" s="158">
        <v>10717.439774193548</v>
      </c>
      <c r="I271" s="158">
        <v>7185.5603516129031</v>
      </c>
      <c r="J271" s="158">
        <v>637085.91187741933</v>
      </c>
      <c r="K271" s="158">
        <v>511111.62507096777</v>
      </c>
      <c r="L271" s="158">
        <v>91207.169709677415</v>
      </c>
      <c r="M271" s="158">
        <v>13644.514280645162</v>
      </c>
      <c r="N271" s="158">
        <f t="shared" si="20"/>
        <v>1297819.6733774194</v>
      </c>
      <c r="O271" s="182">
        <f>+O270</f>
        <v>1350904.1949</v>
      </c>
      <c r="P271" s="158">
        <f t="shared" si="21"/>
        <v>234593.70456707454</v>
      </c>
    </row>
    <row r="272" spans="1:16" s="5" customFormat="1" x14ac:dyDescent="0.2">
      <c r="A272" s="151"/>
      <c r="B272" s="147">
        <f t="shared" si="14"/>
        <v>2016.3333244000114</v>
      </c>
      <c r="C272" s="183">
        <v>42461</v>
      </c>
      <c r="D272" s="158">
        <v>7452.2666666666664</v>
      </c>
      <c r="E272" s="158">
        <v>2188.4666666666667</v>
      </c>
      <c r="F272" s="158">
        <v>3042.6</v>
      </c>
      <c r="G272" s="158">
        <v>13807.9</v>
      </c>
      <c r="H272" s="158">
        <v>10368.200000000001</v>
      </c>
      <c r="I272" s="158">
        <v>7293.9</v>
      </c>
      <c r="J272" s="158">
        <v>626729.8666666667</v>
      </c>
      <c r="K272" s="158">
        <v>511646</v>
      </c>
      <c r="L272" s="158">
        <v>115935.1</v>
      </c>
      <c r="M272" s="158">
        <v>15149.566666666668</v>
      </c>
      <c r="N272" s="158">
        <f t="shared" si="20"/>
        <v>1313613.8666666669</v>
      </c>
      <c r="O272" s="182">
        <f>+O271</f>
        <v>1350904.1949</v>
      </c>
      <c r="P272" s="158">
        <f t="shared" si="21"/>
        <v>15794.193289247574</v>
      </c>
    </row>
    <row r="273" spans="1:18" x14ac:dyDescent="0.2">
      <c r="A273" s="151"/>
      <c r="B273" s="147">
        <f t="shared" si="14"/>
        <v>2016.4166577000115</v>
      </c>
      <c r="C273" s="183">
        <v>42491</v>
      </c>
      <c r="D273" s="158">
        <v>7816.7419354838712</v>
      </c>
      <c r="E273" s="158">
        <v>2153.7096774193546</v>
      </c>
      <c r="F273" s="158">
        <v>3037.8709677419356</v>
      </c>
      <c r="G273" s="158">
        <v>15118.161290322581</v>
      </c>
      <c r="H273" s="158">
        <v>8919.9354838709678</v>
      </c>
      <c r="I273" s="158">
        <v>6482.4516129032254</v>
      </c>
      <c r="J273" s="158">
        <v>739284.67741935479</v>
      </c>
      <c r="K273" s="158">
        <v>471128.87096774194</v>
      </c>
      <c r="L273" s="158">
        <v>179549.4193548387</v>
      </c>
      <c r="M273" s="158">
        <v>13036.322580645161</v>
      </c>
      <c r="N273" s="158">
        <f t="shared" si="20"/>
        <v>1446528.1612903227</v>
      </c>
      <c r="O273" s="181">
        <f t="shared" ref="O273:O279" si="22">+O272</f>
        <v>1350904.1949</v>
      </c>
      <c r="P273" s="158">
        <f t="shared" si="21"/>
        <v>132914.29462365573</v>
      </c>
    </row>
    <row r="274" spans="1:18" x14ac:dyDescent="0.2">
      <c r="A274" s="151"/>
      <c r="B274" s="147">
        <f t="shared" si="14"/>
        <v>2016.4999910000115</v>
      </c>
      <c r="C274" s="183">
        <v>42522</v>
      </c>
      <c r="D274" s="158">
        <v>7979.9</v>
      </c>
      <c r="E274" s="158">
        <v>2412.9</v>
      </c>
      <c r="F274" s="158">
        <v>3162.4333333333334</v>
      </c>
      <c r="G274" s="158">
        <v>15093.5</v>
      </c>
      <c r="H274" s="158">
        <v>10269.1</v>
      </c>
      <c r="I274" s="158">
        <v>8090.4</v>
      </c>
      <c r="J274" s="158">
        <v>781856.8666666667</v>
      </c>
      <c r="K274" s="158">
        <v>329147.03333333333</v>
      </c>
      <c r="L274" s="158">
        <v>143244.43333333332</v>
      </c>
      <c r="M274" s="158">
        <v>24832.400000000001</v>
      </c>
      <c r="N274" s="158">
        <f t="shared" si="20"/>
        <v>1326088.9666666666</v>
      </c>
      <c r="O274" s="182">
        <f t="shared" si="22"/>
        <v>1350904.1949</v>
      </c>
      <c r="P274" s="158">
        <f>N274-N273</f>
        <v>-120439.19462365611</v>
      </c>
      <c r="R274" s="4"/>
    </row>
    <row r="275" spans="1:18" x14ac:dyDescent="0.2">
      <c r="A275" s="151"/>
      <c r="B275" s="147">
        <f t="shared" si="14"/>
        <v>2016.5833243000116</v>
      </c>
      <c r="C275" s="183">
        <v>42552</v>
      </c>
      <c r="D275" s="158">
        <v>7704.1290322580644</v>
      </c>
      <c r="E275" s="158">
        <v>2297.9354838709678</v>
      </c>
      <c r="F275" s="158">
        <v>3116.8709677419356</v>
      </c>
      <c r="G275" s="158">
        <v>16026.870967741936</v>
      </c>
      <c r="H275" s="158">
        <v>11230.870967741936</v>
      </c>
      <c r="I275" s="158">
        <v>8421.5161290322576</v>
      </c>
      <c r="J275" s="158">
        <v>792049.48387096776</v>
      </c>
      <c r="K275" s="158">
        <v>480176.19354838709</v>
      </c>
      <c r="L275" s="158">
        <v>182516.51612903227</v>
      </c>
      <c r="M275" s="158">
        <v>8831.6129032258068</v>
      </c>
      <c r="N275" s="158">
        <f t="shared" si="20"/>
        <v>1512372</v>
      </c>
      <c r="O275" s="182">
        <f t="shared" si="22"/>
        <v>1350904.1949</v>
      </c>
      <c r="P275" s="158">
        <f t="shared" si="21"/>
        <v>186283.03333333344</v>
      </c>
    </row>
    <row r="276" spans="1:18" x14ac:dyDescent="0.2">
      <c r="A276" s="151"/>
      <c r="B276" s="147">
        <f t="shared" si="14"/>
        <v>2016.6666576000116</v>
      </c>
      <c r="C276" s="183">
        <v>42583</v>
      </c>
      <c r="D276" s="158">
        <v>8428.8064516129034</v>
      </c>
      <c r="E276" s="158">
        <v>2428.9559419354837</v>
      </c>
      <c r="F276" s="158">
        <v>3353.3225806451615</v>
      </c>
      <c r="G276" s="158">
        <v>15589.838709677419</v>
      </c>
      <c r="H276" s="158">
        <v>10503.894451612903</v>
      </c>
      <c r="I276" s="158">
        <v>7914.0951677419353</v>
      </c>
      <c r="J276" s="158">
        <v>754020.01422258071</v>
      </c>
      <c r="K276" s="158">
        <v>478459.91600322578</v>
      </c>
      <c r="L276" s="158">
        <v>181140.33896451612</v>
      </c>
      <c r="M276" s="158">
        <v>6265.342096774194</v>
      </c>
      <c r="N276" s="158">
        <f t="shared" si="20"/>
        <v>1468104.5245903225</v>
      </c>
      <c r="O276" s="181">
        <f t="shared" si="22"/>
        <v>1350904.1949</v>
      </c>
      <c r="P276" s="158">
        <f t="shared" si="21"/>
        <v>-44267.475409677485</v>
      </c>
    </row>
    <row r="277" spans="1:18" x14ac:dyDescent="0.2">
      <c r="A277" s="151"/>
      <c r="B277" s="147">
        <f t="shared" si="14"/>
        <v>2016.7499909000117</v>
      </c>
      <c r="C277" s="183">
        <v>42614</v>
      </c>
      <c r="D277" s="158">
        <v>8989.5666666666675</v>
      </c>
      <c r="E277" s="158">
        <v>2683.4080200000003</v>
      </c>
      <c r="F277" s="158">
        <v>3036.2666666666669</v>
      </c>
      <c r="G277" s="158">
        <v>15015.933333333332</v>
      </c>
      <c r="H277" s="158">
        <v>9905.5259000000005</v>
      </c>
      <c r="I277" s="158">
        <v>8128.5949266666667</v>
      </c>
      <c r="J277" s="158">
        <v>678021.24197333329</v>
      </c>
      <c r="K277" s="158">
        <v>501939.91141</v>
      </c>
      <c r="L277" s="158">
        <v>158650.46111999999</v>
      </c>
      <c r="M277" s="158">
        <v>4629.1428333333333</v>
      </c>
      <c r="N277" s="158">
        <f t="shared" si="20"/>
        <v>1391000.0528499999</v>
      </c>
      <c r="O277" s="182">
        <f t="shared" si="22"/>
        <v>1350904.1949</v>
      </c>
      <c r="P277" s="158">
        <f t="shared" si="21"/>
        <v>-77104.471740322653</v>
      </c>
    </row>
    <row r="278" spans="1:18" x14ac:dyDescent="0.2">
      <c r="A278" s="151"/>
      <c r="B278" s="147">
        <f t="shared" si="14"/>
        <v>2016.8333242000117</v>
      </c>
      <c r="C278" s="183">
        <v>42644</v>
      </c>
      <c r="D278" s="158">
        <v>8977.0645161290322</v>
      </c>
      <c r="E278" s="158">
        <v>2737.9128322580646</v>
      </c>
      <c r="F278" s="158">
        <v>3318.8387096774195</v>
      </c>
      <c r="G278" s="158">
        <v>15664.58064516129</v>
      </c>
      <c r="H278" s="158">
        <v>10048.891483870968</v>
      </c>
      <c r="I278" s="158">
        <v>8450.0814580645165</v>
      </c>
      <c r="J278" s="158">
        <v>701969.90909677418</v>
      </c>
      <c r="K278" s="158">
        <v>481197.28746451612</v>
      </c>
      <c r="L278" s="158">
        <v>157489.69903225807</v>
      </c>
      <c r="M278" s="158">
        <v>10242.167096774194</v>
      </c>
      <c r="N278" s="158">
        <f t="shared" si="20"/>
        <v>1400096.4323354836</v>
      </c>
      <c r="O278" s="182">
        <f t="shared" si="22"/>
        <v>1350904.1949</v>
      </c>
      <c r="P278" s="158">
        <f t="shared" si="21"/>
        <v>9096.379485483747</v>
      </c>
    </row>
    <row r="279" spans="1:18" x14ac:dyDescent="0.2">
      <c r="A279" s="151"/>
      <c r="B279" s="147">
        <f t="shared" si="14"/>
        <v>2016.9166575000118</v>
      </c>
      <c r="C279" s="183">
        <v>42675</v>
      </c>
      <c r="D279" s="158">
        <v>8435.1333333333332</v>
      </c>
      <c r="E279" s="158">
        <v>2718.0299799999998</v>
      </c>
      <c r="F279" s="158">
        <v>3281.8666666666668</v>
      </c>
      <c r="G279" s="158">
        <v>15555.366666666667</v>
      </c>
      <c r="H279" s="158">
        <v>10897.418966666668</v>
      </c>
      <c r="I279" s="158">
        <v>7918.9320366666661</v>
      </c>
      <c r="J279" s="158">
        <v>808606.64685999998</v>
      </c>
      <c r="K279" s="158">
        <v>509275.32376999996</v>
      </c>
      <c r="L279" s="158">
        <v>161531.01057333333</v>
      </c>
      <c r="M279" s="158">
        <v>6048.9571699999997</v>
      </c>
      <c r="N279" s="158">
        <f>+SUM(D279:M279)</f>
        <v>1534268.6860233333</v>
      </c>
      <c r="O279" s="181">
        <f t="shared" si="22"/>
        <v>1350904.1949</v>
      </c>
      <c r="P279" s="158">
        <f t="shared" ref="P279:P292" si="23">N279-N278</f>
        <v>134172.25368784973</v>
      </c>
    </row>
    <row r="280" spans="1:18" x14ac:dyDescent="0.2">
      <c r="A280" s="151"/>
      <c r="B280" s="147">
        <f t="shared" si="14"/>
        <v>2016.9999908000118</v>
      </c>
      <c r="C280" s="183">
        <v>42705</v>
      </c>
      <c r="D280" s="158">
        <v>8295.8387096774186</v>
      </c>
      <c r="E280" s="158">
        <v>2468.898587096774</v>
      </c>
      <c r="F280" s="158">
        <v>3205.9032258064517</v>
      </c>
      <c r="G280" s="158">
        <v>15359.774193548386</v>
      </c>
      <c r="H280" s="158">
        <v>11283.790096774193</v>
      </c>
      <c r="I280" s="158">
        <v>7486.5774483870973</v>
      </c>
      <c r="J280" s="158">
        <v>739194.30818709685</v>
      </c>
      <c r="K280" s="158">
        <v>507609.01470322581</v>
      </c>
      <c r="L280" s="158">
        <v>150716.28651935485</v>
      </c>
      <c r="M280" s="158">
        <v>81.387096774193552</v>
      </c>
      <c r="N280" s="158">
        <f>+SUM(D280:M280)</f>
        <v>1445701.7787677422</v>
      </c>
      <c r="O280" s="182">
        <f>+O279</f>
        <v>1350904.1949</v>
      </c>
      <c r="P280" s="158">
        <f t="shared" si="23"/>
        <v>-88566.907255591126</v>
      </c>
    </row>
    <row r="281" spans="1:18" s="102" customFormat="1" x14ac:dyDescent="0.2">
      <c r="B281" s="96">
        <f t="shared" si="14"/>
        <v>2017.0833241000119</v>
      </c>
      <c r="C281" s="103">
        <v>42736</v>
      </c>
      <c r="D281" s="99">
        <v>7332.677419354839</v>
      </c>
      <c r="E281" s="99">
        <v>2307.0643870967742</v>
      </c>
      <c r="F281" s="99">
        <v>1692.4193548387098</v>
      </c>
      <c r="G281" s="99">
        <v>15207.741935483871</v>
      </c>
      <c r="H281" s="99">
        <v>8632.1529193548395</v>
      </c>
      <c r="I281" s="99">
        <v>5948.6907419354839</v>
      </c>
      <c r="J281" s="99">
        <v>568811.69746774191</v>
      </c>
      <c r="K281" s="99">
        <v>449599.37859032262</v>
      </c>
      <c r="L281" s="99">
        <v>163866.58614838708</v>
      </c>
      <c r="M281" s="99">
        <v>116.11440967740999</v>
      </c>
      <c r="N281" s="99">
        <f>+SUM(D281:M281)</f>
        <v>1223514.5233741936</v>
      </c>
      <c r="O281" s="99">
        <v>1245812.264</v>
      </c>
      <c r="P281" s="99">
        <f>N281-N280</f>
        <v>-222187.25539354864</v>
      </c>
    </row>
    <row r="282" spans="1:18" s="5" customFormat="1" x14ac:dyDescent="0.2">
      <c r="B282" s="96">
        <f t="shared" si="14"/>
        <v>2017.1666574000119</v>
      </c>
      <c r="C282" s="103">
        <v>42767</v>
      </c>
      <c r="N282" s="99">
        <v>1177591.9728999999</v>
      </c>
      <c r="O282" s="99">
        <f>+O281</f>
        <v>1245812.264</v>
      </c>
      <c r="P282" s="99">
        <f t="shared" si="23"/>
        <v>-45922.550474193646</v>
      </c>
    </row>
    <row r="283" spans="1:18" s="5" customFormat="1" x14ac:dyDescent="0.2">
      <c r="B283" s="96">
        <f t="shared" si="14"/>
        <v>2017.2499907000119</v>
      </c>
      <c r="C283" s="103">
        <v>42795</v>
      </c>
      <c r="N283" s="99">
        <v>1204775.2013000001</v>
      </c>
      <c r="O283" s="99">
        <f t="shared" ref="O283:O292" si="24">+O282</f>
        <v>1245812.264</v>
      </c>
      <c r="P283" s="99">
        <f t="shared" si="23"/>
        <v>27183.228400000138</v>
      </c>
    </row>
    <row r="284" spans="1:18" s="5" customFormat="1" x14ac:dyDescent="0.2">
      <c r="B284" s="96">
        <f t="shared" si="14"/>
        <v>2017.333324000012</v>
      </c>
      <c r="C284" s="103">
        <v>42826</v>
      </c>
      <c r="N284" s="99">
        <v>1143093.7067</v>
      </c>
      <c r="O284" s="99">
        <f t="shared" si="24"/>
        <v>1245812.264</v>
      </c>
      <c r="P284" s="99">
        <f t="shared" si="23"/>
        <v>-61681.494600000093</v>
      </c>
    </row>
    <row r="285" spans="1:18" x14ac:dyDescent="0.2">
      <c r="B285" s="96">
        <f t="shared" si="14"/>
        <v>2017.416657300012</v>
      </c>
      <c r="C285" s="103">
        <v>42856</v>
      </c>
      <c r="D285"/>
      <c r="E285"/>
      <c r="F285"/>
      <c r="N285" s="99">
        <v>1160523.6394</v>
      </c>
      <c r="O285" s="99">
        <f t="shared" si="24"/>
        <v>1245812.264</v>
      </c>
      <c r="P285" s="99">
        <f t="shared" si="23"/>
        <v>17429.932700000005</v>
      </c>
    </row>
    <row r="286" spans="1:18" x14ac:dyDescent="0.2">
      <c r="B286" s="96">
        <f t="shared" si="14"/>
        <v>2017.4999906000121</v>
      </c>
      <c r="C286" s="103">
        <v>42887</v>
      </c>
      <c r="D286"/>
      <c r="E286"/>
      <c r="F286"/>
      <c r="N286" s="99">
        <v>1263196.8907000001</v>
      </c>
      <c r="O286" s="99">
        <f t="shared" si="24"/>
        <v>1245812.264</v>
      </c>
      <c r="P286" s="99">
        <f>N286-N285</f>
        <v>102673.25130000012</v>
      </c>
    </row>
    <row r="287" spans="1:18" x14ac:dyDescent="0.2">
      <c r="B287" s="201">
        <f t="shared" si="14"/>
        <v>2017.5833239000121</v>
      </c>
      <c r="C287" s="103">
        <v>42917</v>
      </c>
      <c r="D287"/>
      <c r="E287"/>
      <c r="F287"/>
      <c r="N287" s="99">
        <v>1160740.9856</v>
      </c>
      <c r="O287" s="99">
        <f t="shared" si="24"/>
        <v>1245812.264</v>
      </c>
      <c r="P287" s="99">
        <f t="shared" si="23"/>
        <v>-102455.90510000009</v>
      </c>
    </row>
    <row r="288" spans="1:18" x14ac:dyDescent="0.2">
      <c r="B288" s="202">
        <f t="shared" si="14"/>
        <v>2017.6666572000122</v>
      </c>
      <c r="C288" s="103">
        <v>42948</v>
      </c>
      <c r="D288"/>
      <c r="E288"/>
      <c r="F288"/>
      <c r="N288" s="99">
        <v>1370849.5386000001</v>
      </c>
      <c r="O288" s="99">
        <f t="shared" si="24"/>
        <v>1245812.264</v>
      </c>
      <c r="P288" s="99">
        <f t="shared" si="23"/>
        <v>210108.55300000007</v>
      </c>
    </row>
    <row r="289" spans="2:18" x14ac:dyDescent="0.2">
      <c r="B289" s="202">
        <f t="shared" si="14"/>
        <v>2017.7499905000122</v>
      </c>
      <c r="C289" s="103">
        <v>42979</v>
      </c>
      <c r="D289"/>
      <c r="E289"/>
      <c r="F289"/>
      <c r="N289" s="99">
        <v>1273395.6904</v>
      </c>
      <c r="O289" s="99">
        <f t="shared" si="24"/>
        <v>1245812.264</v>
      </c>
      <c r="P289" s="99">
        <f t="shared" si="23"/>
        <v>-97453.848200000124</v>
      </c>
    </row>
    <row r="290" spans="2:18" x14ac:dyDescent="0.2">
      <c r="B290" s="202">
        <f t="shared" si="14"/>
        <v>2017.8333238000123</v>
      </c>
      <c r="C290" s="103">
        <v>43009</v>
      </c>
      <c r="D290"/>
      <c r="E290"/>
      <c r="F290"/>
      <c r="N290" s="99">
        <v>1344459.2986000001</v>
      </c>
      <c r="O290" s="99">
        <f t="shared" si="24"/>
        <v>1245812.264</v>
      </c>
      <c r="P290" s="99">
        <f>N290-N289</f>
        <v>71063.608200000133</v>
      </c>
    </row>
    <row r="291" spans="2:18" x14ac:dyDescent="0.2">
      <c r="B291" s="202">
        <f t="shared" si="14"/>
        <v>2017.9166571000123</v>
      </c>
      <c r="C291" s="103">
        <v>43040</v>
      </c>
      <c r="D291"/>
      <c r="E291"/>
      <c r="F291"/>
      <c r="N291" s="99">
        <v>1377579.1163999999</v>
      </c>
      <c r="O291" s="99">
        <f>+O290</f>
        <v>1245812.264</v>
      </c>
      <c r="P291" s="99">
        <f>N291-N290</f>
        <v>33119.817799999844</v>
      </c>
    </row>
    <row r="292" spans="2:18" x14ac:dyDescent="0.2">
      <c r="B292" s="202">
        <f t="shared" si="14"/>
        <v>2017.9999904000124</v>
      </c>
      <c r="C292" s="103">
        <v>43070</v>
      </c>
      <c r="D292"/>
      <c r="E292"/>
      <c r="F292"/>
      <c r="N292" s="99">
        <v>1320929.9458000001</v>
      </c>
      <c r="O292" s="99">
        <f t="shared" si="24"/>
        <v>1245812.264</v>
      </c>
      <c r="P292" s="99">
        <f t="shared" si="23"/>
        <v>-56649.170599999838</v>
      </c>
    </row>
    <row r="293" spans="2:18" x14ac:dyDescent="0.2">
      <c r="B293" s="202">
        <f t="shared" si="14"/>
        <v>2018.0833237000124</v>
      </c>
      <c r="C293" s="103">
        <v>43101</v>
      </c>
      <c r="D293"/>
      <c r="E293"/>
      <c r="F293"/>
      <c r="N293" s="203">
        <v>1139326.3817</v>
      </c>
      <c r="O293" s="203">
        <v>1197245.8237000001</v>
      </c>
      <c r="P293" s="204">
        <f t="shared" ref="P293:P303" si="25">N293-N292</f>
        <v>-181603.56410000008</v>
      </c>
    </row>
    <row r="294" spans="2:18" x14ac:dyDescent="0.2">
      <c r="B294" s="202">
        <f t="shared" si="14"/>
        <v>2018.1666570000125</v>
      </c>
      <c r="C294" s="103">
        <v>43132</v>
      </c>
      <c r="D294"/>
      <c r="E294"/>
      <c r="F294"/>
      <c r="N294" s="203">
        <v>849299.34869999997</v>
      </c>
      <c r="O294" s="203">
        <f t="shared" ref="O294:O304" si="26">+O293</f>
        <v>1197245.8237000001</v>
      </c>
      <c r="P294" s="204">
        <f t="shared" si="25"/>
        <v>-290027.03300000005</v>
      </c>
    </row>
    <row r="295" spans="2:18" x14ac:dyDescent="0.2">
      <c r="B295" s="202">
        <f t="shared" si="14"/>
        <v>2018.2499903000125</v>
      </c>
      <c r="C295" s="103">
        <v>43160</v>
      </c>
      <c r="D295"/>
      <c r="E295"/>
      <c r="F295"/>
      <c r="N295" s="203">
        <v>1163361.3285000001</v>
      </c>
      <c r="O295" s="203">
        <f t="shared" si="26"/>
        <v>1197245.8237000001</v>
      </c>
      <c r="P295" s="204">
        <f t="shared" si="25"/>
        <v>314061.97980000009</v>
      </c>
    </row>
    <row r="296" spans="2:18" x14ac:dyDescent="0.2">
      <c r="B296" s="202">
        <f t="shared" si="14"/>
        <v>2018.3333236000126</v>
      </c>
      <c r="C296" s="103">
        <v>43191</v>
      </c>
      <c r="D296"/>
      <c r="E296"/>
      <c r="F296"/>
      <c r="N296" s="203">
        <v>1218079</v>
      </c>
      <c r="O296" s="203">
        <f t="shared" si="26"/>
        <v>1197245.8237000001</v>
      </c>
      <c r="P296" s="204">
        <f t="shared" si="25"/>
        <v>54717.671499999939</v>
      </c>
    </row>
    <row r="297" spans="2:18" x14ac:dyDescent="0.2">
      <c r="B297" s="202">
        <f t="shared" si="14"/>
        <v>2018.4166569000126</v>
      </c>
      <c r="C297" s="103">
        <v>43221</v>
      </c>
      <c r="D297"/>
      <c r="E297"/>
      <c r="F297"/>
      <c r="N297" s="203">
        <v>1295738.0527999999</v>
      </c>
      <c r="O297" s="203">
        <f t="shared" si="26"/>
        <v>1197245.8237000001</v>
      </c>
      <c r="P297" s="204">
        <f t="shared" si="25"/>
        <v>77659.052799999947</v>
      </c>
    </row>
    <row r="298" spans="2:18" x14ac:dyDescent="0.2">
      <c r="B298" s="202">
        <f t="shared" si="14"/>
        <v>2018.4999902000127</v>
      </c>
      <c r="C298" s="103">
        <v>43252</v>
      </c>
      <c r="D298"/>
      <c r="E298"/>
      <c r="F298"/>
      <c r="N298" s="203">
        <v>1403484.5903</v>
      </c>
      <c r="O298" s="203">
        <f t="shared" si="26"/>
        <v>1197245.8237000001</v>
      </c>
      <c r="P298" s="204">
        <f t="shared" si="25"/>
        <v>107746.53750000009</v>
      </c>
    </row>
    <row r="299" spans="2:18" x14ac:dyDescent="0.2">
      <c r="B299" s="202">
        <f t="shared" si="14"/>
        <v>2018.5833235000127</v>
      </c>
      <c r="C299" s="103">
        <v>43282</v>
      </c>
      <c r="D299"/>
      <c r="E299"/>
      <c r="F299"/>
      <c r="N299" s="203">
        <v>1300729.2075</v>
      </c>
      <c r="O299" s="203">
        <f t="shared" si="26"/>
        <v>1197245.8237000001</v>
      </c>
      <c r="P299" s="204">
        <f t="shared" si="25"/>
        <v>-102755.38280000002</v>
      </c>
    </row>
    <row r="300" spans="2:18" x14ac:dyDescent="0.2">
      <c r="B300" s="202">
        <f t="shared" si="14"/>
        <v>2018.6666568000128</v>
      </c>
      <c r="C300" s="103">
        <v>43313</v>
      </c>
      <c r="D300"/>
      <c r="E300"/>
      <c r="F300"/>
      <c r="N300" s="203">
        <v>953869.47360000003</v>
      </c>
      <c r="O300" s="203">
        <f t="shared" si="26"/>
        <v>1197245.8237000001</v>
      </c>
      <c r="P300" s="204">
        <f t="shared" si="25"/>
        <v>-346859.73389999999</v>
      </c>
    </row>
    <row r="301" spans="2:18" x14ac:dyDescent="0.2">
      <c r="B301" s="202">
        <f t="shared" si="14"/>
        <v>2018.7499901000128</v>
      </c>
      <c r="C301" s="103">
        <v>43344</v>
      </c>
      <c r="D301"/>
      <c r="E301"/>
      <c r="F301"/>
      <c r="N301" s="203">
        <v>1432568.3633000001</v>
      </c>
      <c r="O301" s="203">
        <f t="shared" si="26"/>
        <v>1197245.8237000001</v>
      </c>
      <c r="P301" s="204">
        <f t="shared" si="25"/>
        <v>478698.88970000006</v>
      </c>
    </row>
    <row r="302" spans="2:18" x14ac:dyDescent="0.2">
      <c r="B302" s="202">
        <f t="shared" si="14"/>
        <v>2018.8333234000129</v>
      </c>
      <c r="C302" s="103">
        <v>43374</v>
      </c>
      <c r="D302"/>
      <c r="E302"/>
      <c r="F302"/>
      <c r="N302" s="203">
        <v>1205642.645</v>
      </c>
      <c r="O302" s="203">
        <f t="shared" si="26"/>
        <v>1197245.8237000001</v>
      </c>
      <c r="P302" s="204">
        <f t="shared" si="25"/>
        <v>-226925.71830000007</v>
      </c>
    </row>
    <row r="303" spans="2:18" x14ac:dyDescent="0.2">
      <c r="B303" s="202">
        <f t="shared" si="14"/>
        <v>2018.9166567000129</v>
      </c>
      <c r="C303" s="103">
        <v>43405</v>
      </c>
      <c r="D303"/>
      <c r="E303"/>
      <c r="F303"/>
      <c r="N303" s="225">
        <v>1374884.0149000001</v>
      </c>
      <c r="O303" s="203">
        <f t="shared" si="26"/>
        <v>1197245.8237000001</v>
      </c>
      <c r="P303" s="204">
        <f t="shared" si="25"/>
        <v>169241.36990000005</v>
      </c>
    </row>
    <row r="304" spans="2:18" x14ac:dyDescent="0.2">
      <c r="B304" s="202">
        <f t="shared" si="14"/>
        <v>2018.999990000013</v>
      </c>
      <c r="C304" s="103">
        <v>43435</v>
      </c>
      <c r="D304"/>
      <c r="E304"/>
      <c r="F304"/>
      <c r="N304" s="203">
        <v>1412080.9691999999</v>
      </c>
      <c r="O304" s="203">
        <f t="shared" si="26"/>
        <v>1197245.8237000001</v>
      </c>
      <c r="P304" s="204">
        <f t="shared" ref="P304:P311" si="27">N304-N303</f>
        <v>37196.954299999867</v>
      </c>
      <c r="R304">
        <v>38899678.891099997</v>
      </c>
    </row>
    <row r="305" spans="2:18" x14ac:dyDescent="0.2">
      <c r="B305" s="226">
        <f t="shared" si="14"/>
        <v>2019.083323300013</v>
      </c>
      <c r="C305" s="232">
        <v>43466</v>
      </c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0">
        <v>1315946.6183</v>
      </c>
      <c r="O305" s="230">
        <v>1299273.6229000001</v>
      </c>
      <c r="P305" s="233">
        <f t="shared" si="27"/>
        <v>-96134.350899999961</v>
      </c>
      <c r="R305">
        <f>+R304/31</f>
        <v>1254828.3513258065</v>
      </c>
    </row>
    <row r="306" spans="2:18" x14ac:dyDescent="0.2">
      <c r="B306" s="226">
        <f t="shared" si="14"/>
        <v>2019.1666566000131</v>
      </c>
      <c r="C306" s="232">
        <v>43497</v>
      </c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0">
        <v>1264159.3536</v>
      </c>
      <c r="O306" s="230">
        <v>1299273.6229000001</v>
      </c>
      <c r="P306" s="233">
        <f t="shared" si="27"/>
        <v>-51787.264699999942</v>
      </c>
    </row>
    <row r="307" spans="2:18" x14ac:dyDescent="0.2">
      <c r="B307" s="226">
        <f t="shared" si="14"/>
        <v>2019.2499899000131</v>
      </c>
      <c r="C307" s="232">
        <v>43525</v>
      </c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0">
        <v>1194725.7082</v>
      </c>
      <c r="O307" s="230">
        <v>1299273.6229000001</v>
      </c>
      <c r="P307" s="233">
        <f t="shared" si="27"/>
        <v>-69433.645400000038</v>
      </c>
      <c r="R307">
        <v>44722640.773100004</v>
      </c>
    </row>
    <row r="308" spans="2:18" x14ac:dyDescent="0.2">
      <c r="B308" s="226">
        <f t="shared" si="14"/>
        <v>2019.3333232000132</v>
      </c>
      <c r="C308" s="232">
        <v>43556</v>
      </c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0">
        <v>1119085.7704</v>
      </c>
      <c r="O308" s="230">
        <v>1299273.6229000001</v>
      </c>
      <c r="P308" s="233">
        <f t="shared" si="27"/>
        <v>-75639.937799999956</v>
      </c>
      <c r="R308">
        <v>30</v>
      </c>
    </row>
    <row r="309" spans="2:18" x14ac:dyDescent="0.2">
      <c r="B309" s="226">
        <f t="shared" ref="B309:B317" si="28">+B308+0.0833333</f>
        <v>2019.4166565000132</v>
      </c>
      <c r="C309" s="232">
        <v>43586</v>
      </c>
      <c r="D309"/>
      <c r="E309"/>
      <c r="F309"/>
      <c r="N309" s="230">
        <v>1085771.1066000001</v>
      </c>
      <c r="O309" s="230">
        <v>1299273.6229000001</v>
      </c>
      <c r="P309" s="233">
        <f t="shared" si="27"/>
        <v>-33314.66379999998</v>
      </c>
    </row>
    <row r="310" spans="2:18" x14ac:dyDescent="0.2">
      <c r="B310" s="226">
        <f t="shared" si="28"/>
        <v>2019.4999898000133</v>
      </c>
      <c r="C310" s="232">
        <v>43617</v>
      </c>
      <c r="D310"/>
      <c r="E310"/>
      <c r="F310"/>
      <c r="N310" s="230">
        <v>1121341.1847999999</v>
      </c>
      <c r="O310" s="230">
        <v>1299273.6229000001</v>
      </c>
      <c r="P310" s="233">
        <f t="shared" si="27"/>
        <v>35570.078199999873</v>
      </c>
    </row>
    <row r="311" spans="2:18" x14ac:dyDescent="0.2">
      <c r="B311" s="226">
        <f t="shared" si="28"/>
        <v>2019.5833231000133</v>
      </c>
      <c r="C311" s="232">
        <v>43647</v>
      </c>
      <c r="D311"/>
      <c r="E311"/>
      <c r="F311"/>
      <c r="N311" s="230">
        <v>1340583.2339999999</v>
      </c>
      <c r="O311" s="230">
        <v>1299273.6229000001</v>
      </c>
      <c r="P311" s="233">
        <f t="shared" si="27"/>
        <v>219242.04920000001</v>
      </c>
    </row>
    <row r="312" spans="2:18" x14ac:dyDescent="0.2">
      <c r="B312" s="226">
        <f t="shared" si="28"/>
        <v>2019.6666564000134</v>
      </c>
      <c r="C312" s="232">
        <v>43678</v>
      </c>
      <c r="D312"/>
      <c r="E312"/>
      <c r="F312"/>
      <c r="N312" s="230">
        <v>1509143.8178999999</v>
      </c>
      <c r="O312" s="230">
        <v>1299273.6229000001</v>
      </c>
      <c r="P312" s="233">
        <f t="shared" ref="P312:P317" si="29">N312-N311</f>
        <v>168560.58389999997</v>
      </c>
    </row>
    <row r="313" spans="2:18" x14ac:dyDescent="0.2">
      <c r="B313" s="226">
        <f t="shared" si="28"/>
        <v>2019.7499897000134</v>
      </c>
      <c r="C313" s="232">
        <v>43709</v>
      </c>
      <c r="D313"/>
      <c r="E313"/>
      <c r="F313"/>
      <c r="N313" s="230">
        <v>1555960.2551</v>
      </c>
      <c r="O313" s="230">
        <v>1299273.6229000001</v>
      </c>
      <c r="P313" s="233">
        <f t="shared" si="29"/>
        <v>46816.437200000044</v>
      </c>
      <c r="Q313">
        <f>+R307/R308</f>
        <v>1490754.6924366667</v>
      </c>
    </row>
    <row r="314" spans="2:18" x14ac:dyDescent="0.2">
      <c r="B314" s="226">
        <f t="shared" si="28"/>
        <v>2019.8333230000135</v>
      </c>
      <c r="C314" s="232">
        <v>43739</v>
      </c>
      <c r="D314"/>
      <c r="E314"/>
      <c r="F314"/>
      <c r="N314" s="230">
        <v>1419451.6309</v>
      </c>
      <c r="O314" s="230">
        <v>1299273.6229000001</v>
      </c>
      <c r="P314" s="233">
        <f t="shared" si="29"/>
        <v>-136508.62419999996</v>
      </c>
    </row>
    <row r="315" spans="2:18" x14ac:dyDescent="0.2">
      <c r="B315" s="226">
        <f t="shared" si="28"/>
        <v>2019.9166563000135</v>
      </c>
      <c r="C315" s="232">
        <v>43770</v>
      </c>
      <c r="D315"/>
      <c r="E315"/>
      <c r="F315"/>
      <c r="N315" s="230">
        <v>1418369.9405</v>
      </c>
      <c r="O315" s="230">
        <v>1299273.6229000001</v>
      </c>
      <c r="P315" s="233">
        <f t="shared" si="29"/>
        <v>-1081.6903999999631</v>
      </c>
    </row>
    <row r="316" spans="2:18" x14ac:dyDescent="0.2">
      <c r="B316" s="226">
        <f t="shared" si="28"/>
        <v>2019.9999896000136</v>
      </c>
      <c r="C316" s="232">
        <v>43800</v>
      </c>
      <c r="D316"/>
      <c r="E316"/>
      <c r="F316"/>
      <c r="N316" s="235">
        <v>1243898</v>
      </c>
      <c r="O316" s="240">
        <v>1299273.6229000001</v>
      </c>
      <c r="P316" s="233">
        <f t="shared" si="29"/>
        <v>-174471.94050000003</v>
      </c>
    </row>
    <row r="317" spans="2:18" x14ac:dyDescent="0.2">
      <c r="B317" s="202">
        <f t="shared" si="28"/>
        <v>2020.0833229000136</v>
      </c>
      <c r="C317" s="103">
        <v>43831</v>
      </c>
      <c r="D317"/>
      <c r="E317"/>
      <c r="F317"/>
      <c r="N317" s="99">
        <v>1211720.6916</v>
      </c>
      <c r="O317" s="99">
        <v>1160730.4550000001</v>
      </c>
      <c r="P317" s="239">
        <f t="shared" si="29"/>
        <v>-32177.30839999998</v>
      </c>
    </row>
    <row r="318" spans="2:18" x14ac:dyDescent="0.2">
      <c r="B318" s="202">
        <f t="shared" ref="B318:B323" si="30">+B317+0.0833333</f>
        <v>2020.1666562000137</v>
      </c>
      <c r="C318" s="103">
        <v>43862</v>
      </c>
      <c r="D318"/>
      <c r="E318"/>
      <c r="F318"/>
      <c r="N318" s="99">
        <v>1249771.6869000001</v>
      </c>
      <c r="O318" s="99">
        <v>1160730.4550000001</v>
      </c>
      <c r="P318" s="239">
        <f t="shared" ref="P318:P323" si="31">N318-N317</f>
        <v>38050.995300000068</v>
      </c>
    </row>
    <row r="319" spans="2:18" x14ac:dyDescent="0.2">
      <c r="B319" s="202">
        <f t="shared" si="30"/>
        <v>2020.2499895000137</v>
      </c>
      <c r="C319" s="103">
        <v>43891</v>
      </c>
      <c r="D319"/>
      <c r="E319"/>
      <c r="F319"/>
      <c r="N319" s="99">
        <v>903310.04</v>
      </c>
      <c r="O319" s="99">
        <v>1160730.4550000001</v>
      </c>
      <c r="P319" s="239">
        <f t="shared" si="31"/>
        <v>-346461.64690000005</v>
      </c>
    </row>
    <row r="320" spans="2:18" x14ac:dyDescent="0.2">
      <c r="B320" s="202">
        <f t="shared" si="30"/>
        <v>2020.3333228000138</v>
      </c>
      <c r="C320" s="103">
        <v>43922</v>
      </c>
      <c r="D320"/>
      <c r="E320"/>
      <c r="F320"/>
      <c r="N320" s="99">
        <v>790178.82979999995</v>
      </c>
      <c r="O320" s="99">
        <v>1160730.4550000001</v>
      </c>
      <c r="P320" s="239">
        <f t="shared" si="31"/>
        <v>-113131.21020000009</v>
      </c>
    </row>
    <row r="321" spans="2:18" x14ac:dyDescent="0.2">
      <c r="B321" s="202">
        <f t="shared" si="30"/>
        <v>2020.4166561000138</v>
      </c>
      <c r="C321" s="103">
        <v>43952</v>
      </c>
      <c r="D321"/>
      <c r="E321"/>
      <c r="F321"/>
      <c r="N321" s="99">
        <v>845915.21279999998</v>
      </c>
      <c r="O321" s="99">
        <v>1160730.4550000001</v>
      </c>
      <c r="P321" s="239">
        <f t="shared" si="31"/>
        <v>55736.383000000031</v>
      </c>
    </row>
    <row r="322" spans="2:18" x14ac:dyDescent="0.2">
      <c r="B322" s="202">
        <f t="shared" si="30"/>
        <v>2020.4999894000139</v>
      </c>
      <c r="C322" s="103">
        <v>43983</v>
      </c>
      <c r="D322"/>
      <c r="E322"/>
      <c r="F322"/>
      <c r="N322" s="99">
        <v>832774.50080000004</v>
      </c>
      <c r="O322" s="99">
        <v>1160730.4550000001</v>
      </c>
      <c r="P322" s="239">
        <f t="shared" si="31"/>
        <v>-13140.711999999941</v>
      </c>
    </row>
    <row r="323" spans="2:18" x14ac:dyDescent="0.2">
      <c r="B323" s="202">
        <f t="shared" si="30"/>
        <v>2020.5833227000139</v>
      </c>
      <c r="C323" s="103">
        <v>44013</v>
      </c>
      <c r="D323"/>
      <c r="E323"/>
      <c r="F323"/>
      <c r="N323" s="99">
        <v>1346101.4935000001</v>
      </c>
      <c r="O323" s="99">
        <v>1160730.4550000001</v>
      </c>
      <c r="P323" s="239">
        <f t="shared" si="31"/>
        <v>513326.99270000006</v>
      </c>
    </row>
    <row r="324" spans="2:18" x14ac:dyDescent="0.2">
      <c r="B324" s="202">
        <f>+B323+0.0833333</f>
        <v>2020.666656000014</v>
      </c>
      <c r="C324" s="103">
        <v>44044</v>
      </c>
      <c r="D324"/>
      <c r="E324"/>
      <c r="F324"/>
      <c r="N324" s="99">
        <v>1298655.1540000001</v>
      </c>
      <c r="O324" s="99">
        <v>1160730.4550000001</v>
      </c>
      <c r="P324" s="239">
        <f>N324-N323</f>
        <v>-47446.339500000002</v>
      </c>
    </row>
    <row r="325" spans="2:18" x14ac:dyDescent="0.2">
      <c r="B325" s="202">
        <f>+B324+0.0833333</f>
        <v>2020.749989300014</v>
      </c>
      <c r="C325" s="103">
        <v>44075</v>
      </c>
      <c r="D325"/>
      <c r="E325"/>
      <c r="F325"/>
      <c r="N325" s="99">
        <v>1342976.2357000001</v>
      </c>
      <c r="O325" s="99">
        <v>1160730.4550000001</v>
      </c>
      <c r="P325" s="239">
        <f>N325-N324</f>
        <v>44321.081699999981</v>
      </c>
    </row>
    <row r="326" spans="2:18" x14ac:dyDescent="0.2">
      <c r="B326" s="202">
        <f>+B325+0.0833333</f>
        <v>2020.8333226000141</v>
      </c>
      <c r="C326" s="103">
        <v>44105</v>
      </c>
      <c r="D326"/>
      <c r="E326"/>
      <c r="F326"/>
      <c r="N326" s="99">
        <v>1254828.3513</v>
      </c>
      <c r="O326" s="99">
        <v>1160730.4550000001</v>
      </c>
      <c r="P326" s="239">
        <f>N326-N325</f>
        <v>-88147.884400000097</v>
      </c>
    </row>
    <row r="327" spans="2:18" x14ac:dyDescent="0.2">
      <c r="B327" s="202">
        <f>+B326+0.0833333</f>
        <v>2020.9166559000141</v>
      </c>
      <c r="C327" s="103">
        <v>44136</v>
      </c>
      <c r="D327"/>
      <c r="E327"/>
      <c r="F327"/>
      <c r="N327" s="99">
        <v>1490754.6924000001</v>
      </c>
      <c r="O327" s="99">
        <v>1160730.4550000001</v>
      </c>
      <c r="P327" s="239">
        <f>N327-N326</f>
        <v>235926.34110000008</v>
      </c>
    </row>
    <row r="328" spans="2:18" x14ac:dyDescent="0.2">
      <c r="B328" s="202">
        <f>+B327+0.0833333</f>
        <v>2020.9999892000142</v>
      </c>
      <c r="C328" s="103">
        <v>44166</v>
      </c>
      <c r="D328"/>
      <c r="E328"/>
      <c r="F328"/>
      <c r="N328" s="99">
        <v>1361515.5016000001</v>
      </c>
      <c r="O328" s="99">
        <v>1160730.4550000001</v>
      </c>
      <c r="P328" s="239">
        <f>N328-N327</f>
        <v>-129239.19079999998</v>
      </c>
    </row>
    <row r="329" spans="2:18" x14ac:dyDescent="0.2">
      <c r="B329" s="244">
        <f t="shared" ref="B329:B352" si="32">+B328+0.0833333</f>
        <v>2021.0833225000142</v>
      </c>
      <c r="C329" s="245">
        <v>44197</v>
      </c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9">
        <v>1150031.7105</v>
      </c>
      <c r="O329" s="249">
        <v>1100521.952</v>
      </c>
      <c r="P329" s="248">
        <f t="shared" ref="P329:P338" si="33">+N329-N328</f>
        <v>-211483.79110000003</v>
      </c>
    </row>
    <row r="330" spans="2:18" x14ac:dyDescent="0.2">
      <c r="B330" s="244">
        <f t="shared" si="32"/>
        <v>2021.1666558000143</v>
      </c>
      <c r="C330" s="245">
        <v>44228</v>
      </c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9">
        <v>1172289.7331000001</v>
      </c>
      <c r="O330" s="249">
        <v>1100521.952</v>
      </c>
      <c r="P330" s="248">
        <f t="shared" si="33"/>
        <v>22258.022600000026</v>
      </c>
      <c r="R330" s="246"/>
    </row>
    <row r="331" spans="2:18" x14ac:dyDescent="0.2">
      <c r="B331" s="244">
        <f t="shared" si="32"/>
        <v>2021.2499891000143</v>
      </c>
      <c r="C331" s="245">
        <v>44256</v>
      </c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9">
        <v>1067744.5911999999</v>
      </c>
      <c r="O331" s="249">
        <v>1100521.952</v>
      </c>
      <c r="P331" s="248">
        <f t="shared" si="33"/>
        <v>-104545.14190000016</v>
      </c>
    </row>
    <row r="332" spans="2:18" x14ac:dyDescent="0.2">
      <c r="B332" s="244">
        <f t="shared" si="32"/>
        <v>2021.3333224000144</v>
      </c>
      <c r="C332" s="245">
        <v>44287</v>
      </c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9">
        <v>871274.07209999999</v>
      </c>
      <c r="O332" s="249">
        <v>1100521.952</v>
      </c>
      <c r="P332" s="248">
        <f t="shared" si="33"/>
        <v>-196470.51909999992</v>
      </c>
    </row>
    <row r="333" spans="2:18" x14ac:dyDescent="0.2">
      <c r="B333" s="244">
        <f t="shared" si="32"/>
        <v>2021.4166557000144</v>
      </c>
      <c r="C333" s="245">
        <v>44317</v>
      </c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9">
        <v>780865.31420000002</v>
      </c>
      <c r="O333" s="249">
        <v>1100521.952</v>
      </c>
      <c r="P333" s="248">
        <f t="shared" si="33"/>
        <v>-90408.757899999968</v>
      </c>
    </row>
    <row r="334" spans="2:18" x14ac:dyDescent="0.2">
      <c r="B334" s="244">
        <f t="shared" si="32"/>
        <v>2021.4999890000145</v>
      </c>
      <c r="C334" s="245">
        <v>44348</v>
      </c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9">
        <v>1068128.4027199999</v>
      </c>
      <c r="O334" s="249">
        <v>1100521.952</v>
      </c>
      <c r="P334" s="248">
        <f t="shared" si="33"/>
        <v>287263.08851999987</v>
      </c>
    </row>
    <row r="335" spans="2:18" x14ac:dyDescent="0.2">
      <c r="B335" s="244">
        <f t="shared" si="32"/>
        <v>2021.5833223000145</v>
      </c>
      <c r="C335" s="245">
        <v>44378</v>
      </c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9">
        <v>823834.10470000003</v>
      </c>
      <c r="O335" s="249">
        <v>1100521.952</v>
      </c>
      <c r="P335" s="248">
        <f t="shared" si="33"/>
        <v>-244294.29801999987</v>
      </c>
    </row>
    <row r="336" spans="2:18" x14ac:dyDescent="0.2">
      <c r="B336" s="244">
        <f t="shared" si="32"/>
        <v>2021.6666556000146</v>
      </c>
      <c r="C336" s="245">
        <v>44409</v>
      </c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9">
        <v>850929.25430000003</v>
      </c>
      <c r="O336" s="249">
        <v>1100521.952</v>
      </c>
      <c r="P336" s="248">
        <f t="shared" si="33"/>
        <v>27095.149600000004</v>
      </c>
    </row>
    <row r="337" spans="2:16" x14ac:dyDescent="0.2">
      <c r="B337" s="244">
        <f t="shared" si="32"/>
        <v>2021.7499889000146</v>
      </c>
      <c r="C337" s="245">
        <v>44440</v>
      </c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9">
        <v>1273570.5607</v>
      </c>
      <c r="O337" s="249">
        <v>1100521.952</v>
      </c>
      <c r="P337" s="248">
        <f t="shared" si="33"/>
        <v>422641.3064</v>
      </c>
    </row>
    <row r="338" spans="2:16" x14ac:dyDescent="0.2">
      <c r="B338" s="244">
        <f t="shared" si="32"/>
        <v>2021.8333222000147</v>
      </c>
      <c r="C338" s="245">
        <v>44470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9">
        <v>1367318.6091</v>
      </c>
      <c r="O338" s="249">
        <v>1100521.952</v>
      </c>
      <c r="P338" s="248">
        <f t="shared" si="33"/>
        <v>93748.048399999971</v>
      </c>
    </row>
    <row r="339" spans="2:16" x14ac:dyDescent="0.2">
      <c r="B339" s="244">
        <f t="shared" si="32"/>
        <v>2021.9166555000147</v>
      </c>
      <c r="C339" s="245">
        <v>44501</v>
      </c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9">
        <v>1428097.6161</v>
      </c>
      <c r="O339" s="249">
        <v>1100521.952</v>
      </c>
      <c r="P339" s="248">
        <f>+N339-N338</f>
        <v>60779.006999999983</v>
      </c>
    </row>
    <row r="340" spans="2:16" x14ac:dyDescent="0.2">
      <c r="B340" s="244">
        <f t="shared" si="32"/>
        <v>2021.9999888000148</v>
      </c>
      <c r="C340" s="259">
        <v>44531</v>
      </c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55">
        <v>1366833</v>
      </c>
      <c r="O340" s="255">
        <v>1100521.952</v>
      </c>
      <c r="P340" s="248">
        <f>+N340-N339</f>
        <v>-61264.616099999985</v>
      </c>
    </row>
    <row r="341" spans="2:16" x14ac:dyDescent="0.2">
      <c r="B341" s="250">
        <f t="shared" si="32"/>
        <v>2022.0833221000148</v>
      </c>
      <c r="C341" s="257">
        <v>44562</v>
      </c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03">
        <v>1356402.0819999999</v>
      </c>
      <c r="O341" s="203">
        <v>1326020.2919000001</v>
      </c>
      <c r="P341" s="258">
        <f t="shared" ref="P341:P352" si="34">+N341-N340</f>
        <v>-10430.918000000063</v>
      </c>
    </row>
    <row r="342" spans="2:16" x14ac:dyDescent="0.2">
      <c r="B342" s="250">
        <f t="shared" si="32"/>
        <v>2022.1666554000149</v>
      </c>
      <c r="C342" s="257">
        <v>44593</v>
      </c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03">
        <v>1344504.6222000001</v>
      </c>
      <c r="O342" s="203">
        <f>+O341</f>
        <v>1326020.2919000001</v>
      </c>
      <c r="P342" s="258">
        <f t="shared" si="34"/>
        <v>-11897.459799999837</v>
      </c>
    </row>
    <row r="343" spans="2:16" x14ac:dyDescent="0.2">
      <c r="B343" s="250">
        <f t="shared" si="32"/>
        <v>2022.2499887000149</v>
      </c>
      <c r="C343" s="257">
        <v>44621</v>
      </c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03">
        <v>1259914.1980999999</v>
      </c>
      <c r="O343" s="203">
        <f>+O342</f>
        <v>1326020.2919000001</v>
      </c>
      <c r="P343" s="258">
        <f t="shared" si="34"/>
        <v>-84590.424100000178</v>
      </c>
    </row>
    <row r="344" spans="2:16" x14ac:dyDescent="0.2">
      <c r="B344" s="250">
        <f t="shared" si="32"/>
        <v>2022.333322000015</v>
      </c>
      <c r="C344" s="257">
        <v>44652</v>
      </c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03">
        <v>1291170.9442</v>
      </c>
      <c r="O344" s="203">
        <f>+O343</f>
        <v>1326020.2919000001</v>
      </c>
      <c r="P344" s="258">
        <f t="shared" si="34"/>
        <v>31256.746100000106</v>
      </c>
    </row>
    <row r="345" spans="2:16" x14ac:dyDescent="0.2">
      <c r="B345" s="250">
        <f t="shared" si="32"/>
        <v>2022.416655300015</v>
      </c>
      <c r="C345" s="257">
        <v>44682</v>
      </c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03">
        <v>1410361.6444000001</v>
      </c>
      <c r="O345" s="203">
        <f t="shared" ref="O345:O352" si="35">+O344</f>
        <v>1326020.2919000001</v>
      </c>
      <c r="P345" s="258">
        <f t="shared" si="34"/>
        <v>119190.70020000008</v>
      </c>
    </row>
    <row r="346" spans="2:16" x14ac:dyDescent="0.2">
      <c r="B346" s="250">
        <f t="shared" si="32"/>
        <v>2022.4999886000151</v>
      </c>
      <c r="C346" s="257">
        <v>44713</v>
      </c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03">
        <v>1462840.0815000001</v>
      </c>
      <c r="O346" s="203">
        <f t="shared" si="35"/>
        <v>1326020.2919000001</v>
      </c>
      <c r="P346" s="258">
        <f t="shared" si="34"/>
        <v>52478.437099999981</v>
      </c>
    </row>
    <row r="347" spans="2:16" x14ac:dyDescent="0.2">
      <c r="B347" s="250">
        <f t="shared" si="32"/>
        <v>2022.5833219000151</v>
      </c>
      <c r="C347" s="257">
        <v>44743</v>
      </c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03">
        <v>983913.28200000001</v>
      </c>
      <c r="O347" s="203">
        <f t="shared" si="35"/>
        <v>1326020.2919000001</v>
      </c>
      <c r="P347" s="258">
        <f>+N347-N346</f>
        <v>-478926.79950000008</v>
      </c>
    </row>
    <row r="348" spans="2:16" x14ac:dyDescent="0.2">
      <c r="B348" s="250">
        <f t="shared" si="32"/>
        <v>2022.6666552000152</v>
      </c>
      <c r="C348" s="257">
        <v>44774</v>
      </c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03">
        <v>1093528.8203</v>
      </c>
      <c r="O348" s="203">
        <f t="shared" si="35"/>
        <v>1326020.2919000001</v>
      </c>
      <c r="P348" s="258">
        <f t="shared" si="34"/>
        <v>109615.53830000001</v>
      </c>
    </row>
    <row r="349" spans="2:16" x14ac:dyDescent="0.2">
      <c r="B349" s="250">
        <f t="shared" si="32"/>
        <v>2022.7499885000152</v>
      </c>
      <c r="C349" s="257">
        <v>44805</v>
      </c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03">
        <v>1253987.8997</v>
      </c>
      <c r="O349" s="203">
        <f t="shared" si="35"/>
        <v>1326020.2919000001</v>
      </c>
      <c r="P349" s="258">
        <f t="shared" si="34"/>
        <v>160459.07939999993</v>
      </c>
    </row>
    <row r="350" spans="2:16" x14ac:dyDescent="0.2">
      <c r="B350" s="250">
        <f t="shared" si="32"/>
        <v>2022.8333218000153</v>
      </c>
      <c r="C350" s="257">
        <v>44835</v>
      </c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03">
        <v>1492396.3795</v>
      </c>
      <c r="O350" s="203">
        <f t="shared" si="35"/>
        <v>1326020.2919000001</v>
      </c>
      <c r="P350" s="258">
        <f t="shared" si="34"/>
        <v>238408.47980000009</v>
      </c>
    </row>
    <row r="351" spans="2:16" x14ac:dyDescent="0.2">
      <c r="B351" s="250">
        <f t="shared" si="32"/>
        <v>2022.9166551000153</v>
      </c>
      <c r="C351" s="257">
        <v>44866</v>
      </c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03">
        <v>1593827.3733999999</v>
      </c>
      <c r="O351" s="203">
        <f t="shared" si="35"/>
        <v>1326020.2919000001</v>
      </c>
      <c r="P351" s="258">
        <f t="shared" si="34"/>
        <v>101430.99389999988</v>
      </c>
    </row>
    <row r="352" spans="2:16" x14ac:dyDescent="0.2">
      <c r="B352" s="250">
        <f t="shared" si="32"/>
        <v>2022.9999884000154</v>
      </c>
      <c r="C352" s="257">
        <v>44896</v>
      </c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03">
        <v>1380789.6608</v>
      </c>
      <c r="O352" s="203">
        <f t="shared" si="35"/>
        <v>1326020.2919000001</v>
      </c>
      <c r="P352" s="258">
        <f>+N352-N351</f>
        <v>-213037.71259999997</v>
      </c>
    </row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view="pageBreakPreview" zoomScaleNormal="130" zoomScaleSheetLayoutView="100" workbookViewId="0">
      <selection activeCell="B2" sqref="B2:M3"/>
    </sheetView>
  </sheetViews>
  <sheetFormatPr baseColWidth="10" defaultColWidth="11.42578125" defaultRowHeight="12.75" x14ac:dyDescent="0.2"/>
  <cols>
    <col min="1" max="2" width="3.85546875" style="192" customWidth="1"/>
    <col min="3" max="3" width="9" style="192" customWidth="1"/>
    <col min="4" max="4" width="11.42578125" style="192"/>
    <col min="5" max="5" width="9.5703125" style="192" customWidth="1"/>
    <col min="6" max="6" width="9.85546875" style="192" bestFit="1" customWidth="1"/>
    <col min="7" max="7" width="8.140625" style="192" customWidth="1"/>
    <col min="8" max="8" width="11.42578125" style="192"/>
    <col min="9" max="9" width="7.28515625" style="192" bestFit="1" customWidth="1"/>
    <col min="10" max="10" width="12.28515625" style="192" bestFit="1" customWidth="1"/>
    <col min="11" max="11" width="8.85546875" style="192" customWidth="1"/>
    <col min="12" max="12" width="10.140625" style="192" customWidth="1"/>
    <col min="13" max="13" width="4.42578125" style="192" customWidth="1"/>
    <col min="14" max="14" width="12.42578125" style="192" bestFit="1" customWidth="1"/>
    <col min="15" max="15" width="11.42578125" style="192"/>
    <col min="16" max="16" width="13.5703125" style="192" customWidth="1"/>
    <col min="17" max="16384" width="11.42578125" style="192"/>
  </cols>
  <sheetData>
    <row r="2" spans="1:15" ht="20.25" customHeight="1" x14ac:dyDescent="0.3">
      <c r="B2" s="283" t="s">
        <v>67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93"/>
    </row>
    <row r="3" spans="1:15" ht="15.75" customHeight="1" x14ac:dyDescent="0.25">
      <c r="A3" s="194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5" x14ac:dyDescent="0.2">
      <c r="N4" s="192" t="s">
        <v>49</v>
      </c>
    </row>
    <row r="5" spans="1:15" x14ac:dyDescent="0.2">
      <c r="N5" s="195"/>
      <c r="O5" s="195"/>
    </row>
    <row r="17" spans="3:14" x14ac:dyDescent="0.2">
      <c r="N17" s="192" t="s">
        <v>57</v>
      </c>
    </row>
    <row r="31" spans="3:14" ht="18" customHeight="1" x14ac:dyDescent="0.2"/>
    <row r="32" spans="3:14" ht="15.75" x14ac:dyDescent="0.25">
      <c r="C32" s="196" t="s">
        <v>48</v>
      </c>
    </row>
    <row r="33" spans="2:13" ht="16.5" customHeight="1" x14ac:dyDescent="0.25">
      <c r="C33" s="196" t="s">
        <v>66</v>
      </c>
    </row>
    <row r="34" spans="2:13" ht="57" customHeight="1" x14ac:dyDescent="0.2">
      <c r="C34" s="284" t="s">
        <v>68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2:13" ht="3.75" customHeight="1" x14ac:dyDescent="0.2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3.75" customHeight="1" x14ac:dyDescent="0.2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3.75" hidden="1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3.75" hidden="1" customHeight="1" x14ac:dyDescent="0.2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3.75" hidden="1" customHeight="1" x14ac:dyDescent="0.2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3.75" hidden="1" customHeight="1" x14ac:dyDescent="0.2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3.75" hidden="1" customHeight="1" x14ac:dyDescent="0.2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3.75" hidden="1" customHeight="1" x14ac:dyDescent="0.2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2:13" ht="3.75" hidden="1" customHeight="1" x14ac:dyDescent="0.2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3.75" hidden="1" customHeight="1" x14ac:dyDescent="0.2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2:13" ht="3.75" hidden="1" customHeight="1" x14ac:dyDescent="0.2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2:13" ht="3.75" hidden="1" customHeight="1" x14ac:dyDescent="0.2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2:13" ht="3.75" hidden="1" customHeight="1" x14ac:dyDescent="0.2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2:13" ht="3.75" hidden="1" customHeight="1" x14ac:dyDescent="0.2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4" ht="3.75" hidden="1" customHeight="1" x14ac:dyDescent="0.2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1:14" ht="10.15" hidden="1" customHeight="1" x14ac:dyDescent="0.2"/>
    <row r="51" spans="1:14" ht="10.15" customHeight="1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3" spans="1:14" x14ac:dyDescent="0.2">
      <c r="N53" s="198"/>
    </row>
    <row r="67" spans="3:14" x14ac:dyDescent="0.2">
      <c r="N67" s="195"/>
    </row>
    <row r="78" spans="3:14" ht="15.75" x14ac:dyDescent="0.25">
      <c r="C78" s="196" t="s">
        <v>61</v>
      </c>
    </row>
    <row r="79" spans="3:14" ht="48.75" customHeight="1" x14ac:dyDescent="0.25">
      <c r="C79" s="279" t="s">
        <v>69</v>
      </c>
      <c r="D79" s="279"/>
      <c r="E79" s="279"/>
      <c r="F79" s="279"/>
      <c r="G79" s="279"/>
      <c r="H79" s="279"/>
      <c r="I79" s="279"/>
      <c r="J79" s="279"/>
      <c r="K79" s="279"/>
      <c r="L79" s="279"/>
      <c r="M79" s="279"/>
    </row>
    <row r="80" spans="3:14" ht="9" customHeight="1" x14ac:dyDescent="0.2"/>
    <row r="81" spans="2:15" ht="44.25" customHeight="1" x14ac:dyDescent="0.2">
      <c r="O81" s="199"/>
    </row>
    <row r="82" spans="2:15" ht="46.5" customHeight="1" x14ac:dyDescent="0.2"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O82" s="199"/>
    </row>
    <row r="83" spans="2:15" ht="4.5" customHeight="1" x14ac:dyDescent="0.2">
      <c r="B83" s="280" t="s">
        <v>57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</row>
    <row r="84" spans="2:15" ht="15" customHeight="1" x14ac:dyDescent="0.2"/>
    <row r="87" spans="2:15" x14ac:dyDescent="0.2">
      <c r="N87" s="199"/>
      <c r="O87" s="200"/>
    </row>
    <row r="110" spans="2:2" x14ac:dyDescent="0.2">
      <c r="B110" s="192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2022-08-10T22:14:57Z</cp:lastPrinted>
  <dcterms:created xsi:type="dcterms:W3CDTF">1997-07-01T22:48:52Z</dcterms:created>
  <dcterms:modified xsi:type="dcterms:W3CDTF">2023-01-16T14:32:09Z</dcterms:modified>
</cp:coreProperties>
</file>